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37708\Desktop\Veřejné zakázky\2023\YA ubytovna 51\VZ\změna\"/>
    </mc:Choice>
  </mc:AlternateContent>
  <xr:revisionPtr revIDLastSave="0" documentId="13_ncr:1_{D577AFEA-3CAB-4799-A4AF-1253F63530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kapitulace stavby_8bytů" sheetId="5" r:id="rId1"/>
    <sheet name="Rekapitulace stavby_1byt" sheetId="1" r:id="rId2"/>
    <sheet name="Stavební" sheetId="2" r:id="rId3"/>
    <sheet name="ZTI" sheetId="4" r:id="rId4"/>
  </sheets>
  <definedNames>
    <definedName name="_xlnm._FilterDatabase" localSheetId="2" hidden="1">Stavební!$C$128:$K$235</definedName>
    <definedName name="_xlnm.Print_Titles" localSheetId="1">'Rekapitulace stavby_1byt'!$92:$92</definedName>
    <definedName name="_xlnm.Print_Titles" localSheetId="2">Stavební!$128:$128</definedName>
    <definedName name="_xlnm.Print_Area" localSheetId="1">'Rekapitulace stavby_1byt'!$D$4:$AO$76,'Rekapitulace stavby_1byt'!$C$82:$AQ$96</definedName>
    <definedName name="_xlnm.Print_Area" localSheetId="2">Stavební!$C$4:$J$75,Stavební!$C$81:$J$110,Stavební!$C$116:$J$235</definedName>
  </definedNames>
  <calcPr calcId="191029"/>
</workbook>
</file>

<file path=xl/calcChain.xml><?xml version="1.0" encoding="utf-8"?>
<calcChain xmlns="http://schemas.openxmlformats.org/spreadsheetml/2006/main">
  <c r="BD23" i="5" l="1"/>
  <c r="BC23" i="5"/>
  <c r="BB23" i="5"/>
  <c r="BA23" i="5"/>
  <c r="AZ23" i="5"/>
  <c r="AY23" i="5"/>
  <c r="AX23" i="5"/>
  <c r="AW23" i="5"/>
  <c r="AV23" i="5"/>
  <c r="AU23" i="5"/>
  <c r="BD22" i="5"/>
  <c r="BC22" i="5"/>
  <c r="BB22" i="5"/>
  <c r="BA22" i="5"/>
  <c r="AZ22" i="5"/>
  <c r="AY22" i="5"/>
  <c r="AX22" i="5"/>
  <c r="AW22" i="5"/>
  <c r="AU22" i="5"/>
  <c r="BD21" i="5"/>
  <c r="BC21" i="5"/>
  <c r="BB21" i="5"/>
  <c r="BA21" i="5"/>
  <c r="AZ21" i="5"/>
  <c r="AY21" i="5"/>
  <c r="AX21" i="5"/>
  <c r="AV21" i="5"/>
  <c r="AU21" i="5"/>
  <c r="BD20" i="5"/>
  <c r="BC20" i="5"/>
  <c r="BB20" i="5"/>
  <c r="BA20" i="5"/>
  <c r="AY20" i="5"/>
  <c r="AW20" i="5"/>
  <c r="AV20" i="5"/>
  <c r="AU20" i="5"/>
  <c r="BD19" i="5"/>
  <c r="BC19" i="5"/>
  <c r="BB19" i="5"/>
  <c r="AX19" i="5"/>
  <c r="AW19" i="5"/>
  <c r="AV19" i="5"/>
  <c r="AU19" i="5"/>
  <c r="BD18" i="5"/>
  <c r="BC18" i="5"/>
  <c r="AY18" i="5"/>
  <c r="AX18" i="5"/>
  <c r="AW18" i="5"/>
  <c r="AV18" i="5"/>
  <c r="AU18" i="5"/>
  <c r="BD17" i="5"/>
  <c r="AY17" i="5"/>
  <c r="AX17" i="5"/>
  <c r="AW17" i="5"/>
  <c r="AU17" i="5"/>
  <c r="BD25" i="5"/>
  <c r="BC25" i="5"/>
  <c r="AY25" i="5"/>
  <c r="AX25" i="5"/>
  <c r="AW25" i="5"/>
  <c r="AV25" i="5"/>
  <c r="AU25" i="5"/>
  <c r="AY16" i="5"/>
  <c r="AX16" i="5"/>
  <c r="AU16" i="5"/>
  <c r="AU15" i="5" s="1"/>
  <c r="AS15" i="5"/>
  <c r="AT25" i="5" l="1"/>
  <c r="AT18" i="5"/>
  <c r="AT20" i="5"/>
  <c r="AT19" i="5"/>
  <c r="AT23" i="5"/>
  <c r="BD96" i="1"/>
  <c r="AY96" i="1"/>
  <c r="AX96" i="1"/>
  <c r="AW96" i="1"/>
  <c r="AU96" i="1"/>
  <c r="BH56" i="4"/>
  <c r="BD56" i="4"/>
  <c r="BB56" i="4"/>
  <c r="AN56" i="4"/>
  <c r="AV56" i="4" s="1"/>
  <c r="AM56" i="4"/>
  <c r="BF56" i="4" s="1"/>
  <c r="Z56" i="4" s="1"/>
  <c r="AJ56" i="4"/>
  <c r="AI56" i="4"/>
  <c r="AR55" i="4" s="1"/>
  <c r="AH56" i="4"/>
  <c r="AQ55" i="4" s="1"/>
  <c r="AF56" i="4"/>
  <c r="AE56" i="4"/>
  <c r="AD56" i="4"/>
  <c r="AC56" i="4"/>
  <c r="AB56" i="4"/>
  <c r="X56" i="4"/>
  <c r="I56" i="4"/>
  <c r="I55" i="4" s="1"/>
  <c r="AS55" i="4"/>
  <c r="BH54" i="4"/>
  <c r="BD54" i="4"/>
  <c r="BB54" i="4"/>
  <c r="AN54" i="4"/>
  <c r="BG54" i="4" s="1"/>
  <c r="AC54" i="4" s="1"/>
  <c r="AM54" i="4"/>
  <c r="AU54" i="4" s="1"/>
  <c r="AJ54" i="4"/>
  <c r="AI54" i="4"/>
  <c r="AF54" i="4"/>
  <c r="AE54" i="4"/>
  <c r="AD54" i="4"/>
  <c r="AA54" i="4"/>
  <c r="Z54" i="4"/>
  <c r="X54" i="4"/>
  <c r="I54" i="4"/>
  <c r="AH54" i="4" s="1"/>
  <c r="BH53" i="4"/>
  <c r="BD53" i="4"/>
  <c r="BB53" i="4"/>
  <c r="AN53" i="4"/>
  <c r="BG53" i="4" s="1"/>
  <c r="AC53" i="4" s="1"/>
  <c r="AM53" i="4"/>
  <c r="BF53" i="4" s="1"/>
  <c r="AB53" i="4" s="1"/>
  <c r="AJ53" i="4"/>
  <c r="AI53" i="4"/>
  <c r="AF53" i="4"/>
  <c r="AE53" i="4"/>
  <c r="AD53" i="4"/>
  <c r="AA53" i="4"/>
  <c r="Z53" i="4"/>
  <c r="X53" i="4"/>
  <c r="I53" i="4"/>
  <c r="AH53" i="4" s="1"/>
  <c r="BH52" i="4"/>
  <c r="BD52" i="4"/>
  <c r="BB52" i="4"/>
  <c r="AN52" i="4"/>
  <c r="BG52" i="4" s="1"/>
  <c r="AC52" i="4" s="1"/>
  <c r="AM52" i="4"/>
  <c r="BF52" i="4" s="1"/>
  <c r="AB52" i="4" s="1"/>
  <c r="AJ52" i="4"/>
  <c r="AI52" i="4"/>
  <c r="AF52" i="4"/>
  <c r="AE52" i="4"/>
  <c r="AD52" i="4"/>
  <c r="AA52" i="4"/>
  <c r="Z52" i="4"/>
  <c r="X52" i="4"/>
  <c r="I52" i="4"/>
  <c r="AH52" i="4" s="1"/>
  <c r="BH51" i="4"/>
  <c r="BD51" i="4"/>
  <c r="BB51" i="4"/>
  <c r="AN51" i="4"/>
  <c r="AV51" i="4" s="1"/>
  <c r="AM51" i="4"/>
  <c r="BF51" i="4" s="1"/>
  <c r="AB51" i="4" s="1"/>
  <c r="AJ51" i="4"/>
  <c r="AI51" i="4"/>
  <c r="AF51" i="4"/>
  <c r="AE51" i="4"/>
  <c r="AD51" i="4"/>
  <c r="AA51" i="4"/>
  <c r="Z51" i="4"/>
  <c r="X51" i="4"/>
  <c r="I51" i="4"/>
  <c r="AH51" i="4" s="1"/>
  <c r="BH50" i="4"/>
  <c r="I50" i="4"/>
  <c r="BH49" i="4"/>
  <c r="BD49" i="4"/>
  <c r="BB49" i="4"/>
  <c r="AN49" i="4"/>
  <c r="BG49" i="4" s="1"/>
  <c r="AC49" i="4" s="1"/>
  <c r="AM49" i="4"/>
  <c r="BF49" i="4" s="1"/>
  <c r="AB49" i="4" s="1"/>
  <c r="AJ49" i="4"/>
  <c r="AI49" i="4"/>
  <c r="AF49" i="4"/>
  <c r="AE49" i="4"/>
  <c r="AD49" i="4"/>
  <c r="AA49" i="4"/>
  <c r="Z49" i="4"/>
  <c r="X49" i="4"/>
  <c r="I49" i="4"/>
  <c r="AH49" i="4" s="1"/>
  <c r="BH48" i="4"/>
  <c r="BD48" i="4"/>
  <c r="BB48" i="4"/>
  <c r="AN48" i="4"/>
  <c r="AV48" i="4" s="1"/>
  <c r="AM48" i="4"/>
  <c r="BF48" i="4" s="1"/>
  <c r="AB48" i="4" s="1"/>
  <c r="AJ48" i="4"/>
  <c r="AI48" i="4"/>
  <c r="AF48" i="4"/>
  <c r="AE48" i="4"/>
  <c r="AD48" i="4"/>
  <c r="AA48" i="4"/>
  <c r="Z48" i="4"/>
  <c r="X48" i="4"/>
  <c r="I48" i="4"/>
  <c r="AH48" i="4" s="1"/>
  <c r="BH47" i="4"/>
  <c r="BD47" i="4"/>
  <c r="BB47" i="4"/>
  <c r="AN47" i="4"/>
  <c r="BG47" i="4" s="1"/>
  <c r="AC47" i="4" s="1"/>
  <c r="AM47" i="4"/>
  <c r="AU47" i="4" s="1"/>
  <c r="AJ47" i="4"/>
  <c r="AI47" i="4"/>
  <c r="AF47" i="4"/>
  <c r="AE47" i="4"/>
  <c r="AD47" i="4"/>
  <c r="AA47" i="4"/>
  <c r="Z47" i="4"/>
  <c r="X47" i="4"/>
  <c r="I47" i="4"/>
  <c r="AH47" i="4" s="1"/>
  <c r="BH46" i="4"/>
  <c r="BD46" i="4"/>
  <c r="BB46" i="4"/>
  <c r="AN46" i="4"/>
  <c r="BG46" i="4" s="1"/>
  <c r="AC46" i="4" s="1"/>
  <c r="AM46" i="4"/>
  <c r="BF46" i="4" s="1"/>
  <c r="AB46" i="4" s="1"/>
  <c r="AJ46" i="4"/>
  <c r="AI46" i="4"/>
  <c r="AF46" i="4"/>
  <c r="AE46" i="4"/>
  <c r="AD46" i="4"/>
  <c r="AA46" i="4"/>
  <c r="Z46" i="4"/>
  <c r="X46" i="4"/>
  <c r="I46" i="4"/>
  <c r="AH46" i="4" s="1"/>
  <c r="BH45" i="4"/>
  <c r="BD45" i="4"/>
  <c r="BB45" i="4"/>
  <c r="AN45" i="4"/>
  <c r="BG45" i="4" s="1"/>
  <c r="AC45" i="4" s="1"/>
  <c r="AM45" i="4"/>
  <c r="BF45" i="4" s="1"/>
  <c r="AB45" i="4" s="1"/>
  <c r="AJ45" i="4"/>
  <c r="AI45" i="4"/>
  <c r="AF45" i="4"/>
  <c r="AE45" i="4"/>
  <c r="AD45" i="4"/>
  <c r="AA45" i="4"/>
  <c r="Z45" i="4"/>
  <c r="X45" i="4"/>
  <c r="I45" i="4"/>
  <c r="AH45" i="4" s="1"/>
  <c r="BH44" i="4"/>
  <c r="BD44" i="4"/>
  <c r="BB44" i="4"/>
  <c r="AN44" i="4"/>
  <c r="AV44" i="4" s="1"/>
  <c r="AM44" i="4"/>
  <c r="BF44" i="4" s="1"/>
  <c r="AB44" i="4" s="1"/>
  <c r="AJ44" i="4"/>
  <c r="AI44" i="4"/>
  <c r="AF44" i="4"/>
  <c r="AE44" i="4"/>
  <c r="AD44" i="4"/>
  <c r="AA44" i="4"/>
  <c r="Z44" i="4"/>
  <c r="X44" i="4"/>
  <c r="I44" i="4"/>
  <c r="AH44" i="4" s="1"/>
  <c r="BH43" i="4"/>
  <c r="BD43" i="4"/>
  <c r="BB43" i="4"/>
  <c r="AN43" i="4"/>
  <c r="BG43" i="4" s="1"/>
  <c r="AC43" i="4" s="1"/>
  <c r="AM43" i="4"/>
  <c r="AU43" i="4" s="1"/>
  <c r="AJ43" i="4"/>
  <c r="AI43" i="4"/>
  <c r="AF43" i="4"/>
  <c r="AE43" i="4"/>
  <c r="AD43" i="4"/>
  <c r="AA43" i="4"/>
  <c r="Z43" i="4"/>
  <c r="X43" i="4"/>
  <c r="I43" i="4"/>
  <c r="AH43" i="4" s="1"/>
  <c r="BH42" i="4"/>
  <c r="BD42" i="4"/>
  <c r="BB42" i="4"/>
  <c r="AN42" i="4"/>
  <c r="BG42" i="4" s="1"/>
  <c r="AC42" i="4" s="1"/>
  <c r="AM42" i="4"/>
  <c r="BF42" i="4" s="1"/>
  <c r="AB42" i="4" s="1"/>
  <c r="AJ42" i="4"/>
  <c r="AI42" i="4"/>
  <c r="AF42" i="4"/>
  <c r="AE42" i="4"/>
  <c r="AD42" i="4"/>
  <c r="AA42" i="4"/>
  <c r="Z42" i="4"/>
  <c r="X42" i="4"/>
  <c r="I42" i="4"/>
  <c r="AH42" i="4" s="1"/>
  <c r="BH41" i="4"/>
  <c r="BD41" i="4"/>
  <c r="BB41" i="4"/>
  <c r="AN41" i="4"/>
  <c r="BG41" i="4" s="1"/>
  <c r="AC41" i="4" s="1"/>
  <c r="AM41" i="4"/>
  <c r="BF41" i="4" s="1"/>
  <c r="AB41" i="4" s="1"/>
  <c r="AJ41" i="4"/>
  <c r="AI41" i="4"/>
  <c r="AF41" i="4"/>
  <c r="AE41" i="4"/>
  <c r="AD41" i="4"/>
  <c r="AA41" i="4"/>
  <c r="Z41" i="4"/>
  <c r="X41" i="4"/>
  <c r="I41" i="4"/>
  <c r="AH41" i="4" s="1"/>
  <c r="BH40" i="4"/>
  <c r="BD40" i="4"/>
  <c r="BB40" i="4"/>
  <c r="AN40" i="4"/>
  <c r="AV40" i="4" s="1"/>
  <c r="AM40" i="4"/>
  <c r="BF40" i="4" s="1"/>
  <c r="AB40" i="4" s="1"/>
  <c r="AJ40" i="4"/>
  <c r="AI40" i="4"/>
  <c r="AF40" i="4"/>
  <c r="AE40" i="4"/>
  <c r="AD40" i="4"/>
  <c r="AA40" i="4"/>
  <c r="Z40" i="4"/>
  <c r="X40" i="4"/>
  <c r="I40" i="4"/>
  <c r="AH40" i="4" s="1"/>
  <c r="BH39" i="4"/>
  <c r="BD39" i="4"/>
  <c r="BB39" i="4"/>
  <c r="AN39" i="4"/>
  <c r="BG39" i="4" s="1"/>
  <c r="AC39" i="4" s="1"/>
  <c r="AM39" i="4"/>
  <c r="AU39" i="4" s="1"/>
  <c r="AJ39" i="4"/>
  <c r="AI39" i="4"/>
  <c r="AF39" i="4"/>
  <c r="AE39" i="4"/>
  <c r="AD39" i="4"/>
  <c r="AA39" i="4"/>
  <c r="Z39" i="4"/>
  <c r="X39" i="4"/>
  <c r="I39" i="4"/>
  <c r="AH39" i="4" s="1"/>
  <c r="BH38" i="4"/>
  <c r="BD38" i="4"/>
  <c r="BB38" i="4"/>
  <c r="AN38" i="4"/>
  <c r="BG38" i="4" s="1"/>
  <c r="AC38" i="4" s="1"/>
  <c r="AM38" i="4"/>
  <c r="BF38" i="4" s="1"/>
  <c r="AB38" i="4" s="1"/>
  <c r="AJ38" i="4"/>
  <c r="AI38" i="4"/>
  <c r="AF38" i="4"/>
  <c r="AE38" i="4"/>
  <c r="AD38" i="4"/>
  <c r="AA38" i="4"/>
  <c r="Z38" i="4"/>
  <c r="X38" i="4"/>
  <c r="I38" i="4"/>
  <c r="AH38" i="4" s="1"/>
  <c r="BH37" i="4"/>
  <c r="BD37" i="4"/>
  <c r="BB37" i="4"/>
  <c r="AN37" i="4"/>
  <c r="BG37" i="4" s="1"/>
  <c r="AC37" i="4" s="1"/>
  <c r="AM37" i="4"/>
  <c r="BF37" i="4" s="1"/>
  <c r="AB37" i="4" s="1"/>
  <c r="AJ37" i="4"/>
  <c r="AI37" i="4"/>
  <c r="AF37" i="4"/>
  <c r="AE37" i="4"/>
  <c r="AD37" i="4"/>
  <c r="AA37" i="4"/>
  <c r="Z37" i="4"/>
  <c r="X37" i="4"/>
  <c r="I37" i="4"/>
  <c r="AH37" i="4" s="1"/>
  <c r="BH36" i="4"/>
  <c r="BD36" i="4"/>
  <c r="BB36" i="4"/>
  <c r="AN36" i="4"/>
  <c r="AV36" i="4" s="1"/>
  <c r="AM36" i="4"/>
  <c r="BF36" i="4" s="1"/>
  <c r="AB36" i="4" s="1"/>
  <c r="AJ36" i="4"/>
  <c r="AI36" i="4"/>
  <c r="AF36" i="4"/>
  <c r="AE36" i="4"/>
  <c r="AD36" i="4"/>
  <c r="AA36" i="4"/>
  <c r="Z36" i="4"/>
  <c r="X36" i="4"/>
  <c r="I36" i="4"/>
  <c r="AH36" i="4" s="1"/>
  <c r="BH34" i="4"/>
  <c r="BD34" i="4"/>
  <c r="BB34" i="4"/>
  <c r="AN34" i="4"/>
  <c r="BG34" i="4" s="1"/>
  <c r="AC34" i="4" s="1"/>
  <c r="AM34" i="4"/>
  <c r="AU34" i="4" s="1"/>
  <c r="AJ34" i="4"/>
  <c r="AI34" i="4"/>
  <c r="AF34" i="4"/>
  <c r="AE34" i="4"/>
  <c r="AD34" i="4"/>
  <c r="AA34" i="4"/>
  <c r="Z34" i="4"/>
  <c r="X34" i="4"/>
  <c r="I34" i="4"/>
  <c r="AH34" i="4" s="1"/>
  <c r="BH33" i="4"/>
  <c r="BD33" i="4"/>
  <c r="BB33" i="4"/>
  <c r="AN33" i="4"/>
  <c r="BG33" i="4" s="1"/>
  <c r="AC33" i="4" s="1"/>
  <c r="AM33" i="4"/>
  <c r="BF33" i="4" s="1"/>
  <c r="AB33" i="4" s="1"/>
  <c r="AJ33" i="4"/>
  <c r="AI33" i="4"/>
  <c r="AF33" i="4"/>
  <c r="AE33" i="4"/>
  <c r="AD33" i="4"/>
  <c r="AA33" i="4"/>
  <c r="Z33" i="4"/>
  <c r="X33" i="4"/>
  <c r="I33" i="4"/>
  <c r="AH33" i="4" s="1"/>
  <c r="BH32" i="4"/>
  <c r="BD32" i="4"/>
  <c r="BB32" i="4"/>
  <c r="AN32" i="4"/>
  <c r="BG32" i="4" s="1"/>
  <c r="AC32" i="4" s="1"/>
  <c r="AM32" i="4"/>
  <c r="BF32" i="4" s="1"/>
  <c r="AB32" i="4" s="1"/>
  <c r="AJ32" i="4"/>
  <c r="AI32" i="4"/>
  <c r="AF32" i="4"/>
  <c r="AE32" i="4"/>
  <c r="AD32" i="4"/>
  <c r="AA32" i="4"/>
  <c r="Z32" i="4"/>
  <c r="X32" i="4"/>
  <c r="I32" i="4"/>
  <c r="AH32" i="4" s="1"/>
  <c r="BH31" i="4"/>
  <c r="BD31" i="4"/>
  <c r="BB31" i="4"/>
  <c r="AN31" i="4"/>
  <c r="AV31" i="4" s="1"/>
  <c r="AM31" i="4"/>
  <c r="BF31" i="4" s="1"/>
  <c r="AB31" i="4" s="1"/>
  <c r="AJ31" i="4"/>
  <c r="AI31" i="4"/>
  <c r="AF31" i="4"/>
  <c r="AE31" i="4"/>
  <c r="AD31" i="4"/>
  <c r="AA31" i="4"/>
  <c r="Z31" i="4"/>
  <c r="X31" i="4"/>
  <c r="I31" i="4"/>
  <c r="AH31" i="4" s="1"/>
  <c r="BH30" i="4"/>
  <c r="BD30" i="4"/>
  <c r="BB30" i="4"/>
  <c r="AN30" i="4"/>
  <c r="BG30" i="4" s="1"/>
  <c r="AC30" i="4" s="1"/>
  <c r="AM30" i="4"/>
  <c r="AU30" i="4" s="1"/>
  <c r="AJ30" i="4"/>
  <c r="AI30" i="4"/>
  <c r="AF30" i="4"/>
  <c r="AE30" i="4"/>
  <c r="AD30" i="4"/>
  <c r="AA30" i="4"/>
  <c r="Z30" i="4"/>
  <c r="X30" i="4"/>
  <c r="I30" i="4"/>
  <c r="AH30" i="4" s="1"/>
  <c r="BH29" i="4"/>
  <c r="BD29" i="4"/>
  <c r="BB29" i="4"/>
  <c r="AN29" i="4"/>
  <c r="BG29" i="4" s="1"/>
  <c r="AC29" i="4" s="1"/>
  <c r="AM29" i="4"/>
  <c r="BF29" i="4" s="1"/>
  <c r="AB29" i="4" s="1"/>
  <c r="AJ29" i="4"/>
  <c r="AI29" i="4"/>
  <c r="AF29" i="4"/>
  <c r="AE29" i="4"/>
  <c r="AD29" i="4"/>
  <c r="AA29" i="4"/>
  <c r="Z29" i="4"/>
  <c r="X29" i="4"/>
  <c r="I29" i="4"/>
  <c r="AH29" i="4" s="1"/>
  <c r="BH28" i="4"/>
  <c r="BD28" i="4"/>
  <c r="BB28" i="4"/>
  <c r="AN28" i="4"/>
  <c r="BG28" i="4" s="1"/>
  <c r="AC28" i="4" s="1"/>
  <c r="AM28" i="4"/>
  <c r="BF28" i="4" s="1"/>
  <c r="AB28" i="4" s="1"/>
  <c r="AJ28" i="4"/>
  <c r="AI28" i="4"/>
  <c r="AF28" i="4"/>
  <c r="AE28" i="4"/>
  <c r="AD28" i="4"/>
  <c r="AA28" i="4"/>
  <c r="Z28" i="4"/>
  <c r="X28" i="4"/>
  <c r="I28" i="4"/>
  <c r="AH28" i="4" s="1"/>
  <c r="BH27" i="4"/>
  <c r="BD27" i="4"/>
  <c r="BB27" i="4"/>
  <c r="AN27" i="4"/>
  <c r="AV27" i="4" s="1"/>
  <c r="AM27" i="4"/>
  <c r="BF27" i="4" s="1"/>
  <c r="AB27" i="4" s="1"/>
  <c r="AJ27" i="4"/>
  <c r="AI27" i="4"/>
  <c r="AF27" i="4"/>
  <c r="AE27" i="4"/>
  <c r="AD27" i="4"/>
  <c r="AA27" i="4"/>
  <c r="Z27" i="4"/>
  <c r="X27" i="4"/>
  <c r="I27" i="4"/>
  <c r="AH27" i="4" s="1"/>
  <c r="BH26" i="4"/>
  <c r="BD26" i="4"/>
  <c r="BB26" i="4"/>
  <c r="AN26" i="4"/>
  <c r="BG26" i="4" s="1"/>
  <c r="AC26" i="4" s="1"/>
  <c r="AM26" i="4"/>
  <c r="AU26" i="4" s="1"/>
  <c r="AJ26" i="4"/>
  <c r="AI26" i="4"/>
  <c r="AF26" i="4"/>
  <c r="AE26" i="4"/>
  <c r="AD26" i="4"/>
  <c r="AA26" i="4"/>
  <c r="Z26" i="4"/>
  <c r="X26" i="4"/>
  <c r="I26" i="4"/>
  <c r="AH26" i="4" s="1"/>
  <c r="BH25" i="4"/>
  <c r="BD25" i="4"/>
  <c r="BB25" i="4"/>
  <c r="AN25" i="4"/>
  <c r="AV25" i="4" s="1"/>
  <c r="AM25" i="4"/>
  <c r="BF25" i="4" s="1"/>
  <c r="AB25" i="4" s="1"/>
  <c r="AJ25" i="4"/>
  <c r="AI25" i="4"/>
  <c r="AF25" i="4"/>
  <c r="AE25" i="4"/>
  <c r="AD25" i="4"/>
  <c r="AA25" i="4"/>
  <c r="Z25" i="4"/>
  <c r="X25" i="4"/>
  <c r="I25" i="4"/>
  <c r="AH25" i="4" s="1"/>
  <c r="BH24" i="4"/>
  <c r="BD24" i="4"/>
  <c r="BB24" i="4"/>
  <c r="AN24" i="4"/>
  <c r="BG24" i="4" s="1"/>
  <c r="AC24" i="4" s="1"/>
  <c r="AM24" i="4"/>
  <c r="AU24" i="4" s="1"/>
  <c r="AJ24" i="4"/>
  <c r="AI24" i="4"/>
  <c r="AF24" i="4"/>
  <c r="AE24" i="4"/>
  <c r="AD24" i="4"/>
  <c r="AA24" i="4"/>
  <c r="Z24" i="4"/>
  <c r="X24" i="4"/>
  <c r="I24" i="4"/>
  <c r="AH24" i="4" s="1"/>
  <c r="BH23" i="4"/>
  <c r="BD23" i="4"/>
  <c r="BB23" i="4"/>
  <c r="AN23" i="4"/>
  <c r="AV23" i="4" s="1"/>
  <c r="AM23" i="4"/>
  <c r="BF23" i="4" s="1"/>
  <c r="AB23" i="4" s="1"/>
  <c r="AJ23" i="4"/>
  <c r="AI23" i="4"/>
  <c r="AF23" i="4"/>
  <c r="AE23" i="4"/>
  <c r="AD23" i="4"/>
  <c r="AA23" i="4"/>
  <c r="Z23" i="4"/>
  <c r="X23" i="4"/>
  <c r="I23" i="4"/>
  <c r="AH23" i="4" s="1"/>
  <c r="BH22" i="4"/>
  <c r="BD22" i="4"/>
  <c r="BB22" i="4"/>
  <c r="AN22" i="4"/>
  <c r="BG22" i="4" s="1"/>
  <c r="AC22" i="4" s="1"/>
  <c r="AM22" i="4"/>
  <c r="AU22" i="4" s="1"/>
  <c r="AJ22" i="4"/>
  <c r="AI22" i="4"/>
  <c r="AF22" i="4"/>
  <c r="AE22" i="4"/>
  <c r="AD22" i="4"/>
  <c r="AA22" i="4"/>
  <c r="Z22" i="4"/>
  <c r="X22" i="4"/>
  <c r="I22" i="4"/>
  <c r="AH22" i="4" s="1"/>
  <c r="BH20" i="4"/>
  <c r="BD20" i="4"/>
  <c r="BB20" i="4"/>
  <c r="AN20" i="4"/>
  <c r="AV20" i="4" s="1"/>
  <c r="AM20" i="4"/>
  <c r="BF20" i="4" s="1"/>
  <c r="AB20" i="4" s="1"/>
  <c r="AJ20" i="4"/>
  <c r="AI20" i="4"/>
  <c r="AF20" i="4"/>
  <c r="AE20" i="4"/>
  <c r="AD20" i="4"/>
  <c r="AA20" i="4"/>
  <c r="Z20" i="4"/>
  <c r="X20" i="4"/>
  <c r="I20" i="4"/>
  <c r="AH20" i="4" s="1"/>
  <c r="BH19" i="4"/>
  <c r="BD19" i="4"/>
  <c r="BB19" i="4"/>
  <c r="AN19" i="4"/>
  <c r="BG19" i="4" s="1"/>
  <c r="AC19" i="4" s="1"/>
  <c r="AM19" i="4"/>
  <c r="AU19" i="4" s="1"/>
  <c r="AJ19" i="4"/>
  <c r="AI19" i="4"/>
  <c r="AF19" i="4"/>
  <c r="AE19" i="4"/>
  <c r="AD19" i="4"/>
  <c r="AA19" i="4"/>
  <c r="Z19" i="4"/>
  <c r="X19" i="4"/>
  <c r="I19" i="4"/>
  <c r="AH19" i="4" s="1"/>
  <c r="BH18" i="4"/>
  <c r="BD18" i="4"/>
  <c r="BB18" i="4"/>
  <c r="AN18" i="4"/>
  <c r="AV18" i="4" s="1"/>
  <c r="AM18" i="4"/>
  <c r="BF18" i="4" s="1"/>
  <c r="AB18" i="4" s="1"/>
  <c r="AJ18" i="4"/>
  <c r="AI18" i="4"/>
  <c r="AF18" i="4"/>
  <c r="AE18" i="4"/>
  <c r="AD18" i="4"/>
  <c r="AA18" i="4"/>
  <c r="Z18" i="4"/>
  <c r="X18" i="4"/>
  <c r="I18" i="4"/>
  <c r="AH18" i="4" s="1"/>
  <c r="BH17" i="4"/>
  <c r="BD17" i="4"/>
  <c r="BB17" i="4"/>
  <c r="AN17" i="4"/>
  <c r="BG17" i="4" s="1"/>
  <c r="AM17" i="4"/>
  <c r="AU17" i="4" s="1"/>
  <c r="AJ17" i="4"/>
  <c r="AI17" i="4"/>
  <c r="AF17" i="4"/>
  <c r="AE17" i="4"/>
  <c r="AD17" i="4"/>
  <c r="AC17" i="4"/>
  <c r="AA17" i="4"/>
  <c r="Z17" i="4"/>
  <c r="X17" i="4"/>
  <c r="I17" i="4"/>
  <c r="AH17" i="4" s="1"/>
  <c r="BH16" i="4"/>
  <c r="BD16" i="4"/>
  <c r="BB16" i="4"/>
  <c r="AN16" i="4"/>
  <c r="BG16" i="4" s="1"/>
  <c r="AC16" i="4" s="1"/>
  <c r="AM16" i="4"/>
  <c r="BF16" i="4" s="1"/>
  <c r="AB16" i="4" s="1"/>
  <c r="AJ16" i="4"/>
  <c r="AI16" i="4"/>
  <c r="AF16" i="4"/>
  <c r="AE16" i="4"/>
  <c r="AD16" i="4"/>
  <c r="AA16" i="4"/>
  <c r="Z16" i="4"/>
  <c r="X16" i="4"/>
  <c r="I16" i="4"/>
  <c r="AH16" i="4" s="1"/>
  <c r="BH15" i="4"/>
  <c r="BD15" i="4"/>
  <c r="BB15" i="4"/>
  <c r="AN15" i="4"/>
  <c r="BG15" i="4" s="1"/>
  <c r="AC15" i="4" s="1"/>
  <c r="AM15" i="4"/>
  <c r="BF15" i="4" s="1"/>
  <c r="AB15" i="4" s="1"/>
  <c r="AJ15" i="4"/>
  <c r="AI15" i="4"/>
  <c r="AF15" i="4"/>
  <c r="AE15" i="4"/>
  <c r="AD15" i="4"/>
  <c r="AA15" i="4"/>
  <c r="Z15" i="4"/>
  <c r="X15" i="4"/>
  <c r="I15" i="4"/>
  <c r="AH15" i="4" s="1"/>
  <c r="BH14" i="4"/>
  <c r="BD14" i="4"/>
  <c r="BB14" i="4"/>
  <c r="AN14" i="4"/>
  <c r="AV14" i="4" s="1"/>
  <c r="AM14" i="4"/>
  <c r="BF14" i="4" s="1"/>
  <c r="AB14" i="4" s="1"/>
  <c r="AJ14" i="4"/>
  <c r="AI14" i="4"/>
  <c r="AF14" i="4"/>
  <c r="AE14" i="4"/>
  <c r="AD14" i="4"/>
  <c r="AA14" i="4"/>
  <c r="Z14" i="4"/>
  <c r="X14" i="4"/>
  <c r="I14" i="4"/>
  <c r="AH14" i="4" s="1"/>
  <c r="BH13" i="4"/>
  <c r="BD13" i="4"/>
  <c r="BB13" i="4"/>
  <c r="AN13" i="4"/>
  <c r="BG13" i="4" s="1"/>
  <c r="AC13" i="4" s="1"/>
  <c r="AM13" i="4"/>
  <c r="AU13" i="4" s="1"/>
  <c r="AJ13" i="4"/>
  <c r="AI13" i="4"/>
  <c r="AF13" i="4"/>
  <c r="AE13" i="4"/>
  <c r="AD13" i="4"/>
  <c r="AA13" i="4"/>
  <c r="Z13" i="4"/>
  <c r="X13" i="4"/>
  <c r="I13" i="4"/>
  <c r="K12" i="4"/>
  <c r="AV34" i="4" l="1"/>
  <c r="AT34" i="4" s="1"/>
  <c r="AV46" i="4"/>
  <c r="AU33" i="4"/>
  <c r="AU36" i="4"/>
  <c r="BA36" i="4" s="1"/>
  <c r="AU45" i="4"/>
  <c r="AV17" i="4"/>
  <c r="BA17" i="4" s="1"/>
  <c r="AV28" i="4"/>
  <c r="AV13" i="4"/>
  <c r="AU46" i="4"/>
  <c r="BF47" i="4"/>
  <c r="AB47" i="4" s="1"/>
  <c r="BA56" i="4"/>
  <c r="AU25" i="4"/>
  <c r="BA25" i="4" s="1"/>
  <c r="BF54" i="4"/>
  <c r="AB54" i="4" s="1"/>
  <c r="AU56" i="4"/>
  <c r="AT56" i="4" s="1"/>
  <c r="BF26" i="4"/>
  <c r="AB26" i="4" s="1"/>
  <c r="AU29" i="4"/>
  <c r="AV54" i="4"/>
  <c r="AT54" i="4" s="1"/>
  <c r="AU53" i="4"/>
  <c r="AV52" i="4"/>
  <c r="AV47" i="4"/>
  <c r="AV43" i="4"/>
  <c r="AT43" i="4" s="1"/>
  <c r="BF43" i="4"/>
  <c r="AB43" i="4" s="1"/>
  <c r="AU42" i="4"/>
  <c r="AV42" i="4"/>
  <c r="AU41" i="4"/>
  <c r="AV39" i="4"/>
  <c r="AT39" i="4" s="1"/>
  <c r="AQ35" i="4"/>
  <c r="AU38" i="4"/>
  <c r="AV37" i="4"/>
  <c r="BG36" i="4"/>
  <c r="AC36" i="4" s="1"/>
  <c r="BF34" i="4"/>
  <c r="AB34" i="4" s="1"/>
  <c r="AV32" i="4"/>
  <c r="AU31" i="4"/>
  <c r="BG31" i="4"/>
  <c r="AC31" i="4" s="1"/>
  <c r="AV30" i="4"/>
  <c r="BA30" i="4" s="1"/>
  <c r="BF30" i="4"/>
  <c r="AB30" i="4" s="1"/>
  <c r="I21" i="4"/>
  <c r="AU27" i="4"/>
  <c r="BG27" i="4"/>
  <c r="AC27" i="4" s="1"/>
  <c r="AV26" i="4"/>
  <c r="AT26" i="4" s="1"/>
  <c r="AR21" i="4"/>
  <c r="AV24" i="4"/>
  <c r="BA24" i="4" s="1"/>
  <c r="AU23" i="4"/>
  <c r="AT23" i="4" s="1"/>
  <c r="AV22" i="4"/>
  <c r="AT22" i="4" s="1"/>
  <c r="BA22" i="4"/>
  <c r="AU20" i="4"/>
  <c r="BA20" i="4" s="1"/>
  <c r="AV19" i="4"/>
  <c r="BA19" i="4" s="1"/>
  <c r="AU18" i="4"/>
  <c r="AT18" i="4" s="1"/>
  <c r="I12" i="4"/>
  <c r="AU16" i="4"/>
  <c r="AV16" i="4"/>
  <c r="AU15" i="4"/>
  <c r="AS12" i="4"/>
  <c r="AR12" i="4"/>
  <c r="AT13" i="4"/>
  <c r="BA13" i="4"/>
  <c r="AH13" i="4"/>
  <c r="AQ12" i="4" s="1"/>
  <c r="BG18" i="4"/>
  <c r="AC18" i="4" s="1"/>
  <c r="BG23" i="4"/>
  <c r="AC23" i="4" s="1"/>
  <c r="AR35" i="4"/>
  <c r="BF39" i="4"/>
  <c r="AB39" i="4" s="1"/>
  <c r="BG48" i="4"/>
  <c r="AC48" i="4" s="1"/>
  <c r="BG51" i="4"/>
  <c r="AC51" i="4" s="1"/>
  <c r="AU14" i="4"/>
  <c r="AV15" i="4"/>
  <c r="BF17" i="4"/>
  <c r="AB17" i="4" s="1"/>
  <c r="BG20" i="4"/>
  <c r="AC20" i="4" s="1"/>
  <c r="AQ21" i="4"/>
  <c r="BF22" i="4"/>
  <c r="AB22" i="4" s="1"/>
  <c r="AS21" i="4"/>
  <c r="BG25" i="4"/>
  <c r="AC25" i="4" s="1"/>
  <c r="BG44" i="4"/>
  <c r="AC44" i="4" s="1"/>
  <c r="AT47" i="4"/>
  <c r="BA47" i="4"/>
  <c r="BG56" i="4"/>
  <c r="AA56" i="4" s="1"/>
  <c r="BF13" i="4"/>
  <c r="AB13" i="4" s="1"/>
  <c r="BG14" i="4"/>
  <c r="AC14" i="4" s="1"/>
  <c r="BA39" i="4"/>
  <c r="BF19" i="4"/>
  <c r="AB19" i="4" s="1"/>
  <c r="BF24" i="4"/>
  <c r="AB24" i="4" s="1"/>
  <c r="AS35" i="4"/>
  <c r="BG40" i="4"/>
  <c r="AC40" i="4" s="1"/>
  <c r="BA43" i="4"/>
  <c r="AT46" i="4"/>
  <c r="BA46" i="4"/>
  <c r="AU28" i="4"/>
  <c r="AV29" i="4"/>
  <c r="AU32" i="4"/>
  <c r="AV33" i="4"/>
  <c r="BA33" i="4" s="1"/>
  <c r="AU37" i="4"/>
  <c r="AV38" i="4"/>
  <c r="AU49" i="4"/>
  <c r="AU52" i="4"/>
  <c r="AV53" i="4"/>
  <c r="AU40" i="4"/>
  <c r="AV41" i="4"/>
  <c r="AU44" i="4"/>
  <c r="AV45" i="4"/>
  <c r="AU48" i="4"/>
  <c r="AV49" i="4"/>
  <c r="AU51" i="4"/>
  <c r="I35" i="4"/>
  <c r="F90" i="2"/>
  <c r="BA34" i="4" l="1"/>
  <c r="AT41" i="4"/>
  <c r="AT24" i="4"/>
  <c r="BA18" i="4"/>
  <c r="BA26" i="4"/>
  <c r="AT36" i="4"/>
  <c r="AT25" i="4"/>
  <c r="AT29" i="4"/>
  <c r="AT45" i="4"/>
  <c r="AT19" i="4"/>
  <c r="AT17" i="4"/>
  <c r="BA54" i="4"/>
  <c r="AT15" i="4"/>
  <c r="AT42" i="4"/>
  <c r="BA41" i="4"/>
  <c r="BA42" i="4"/>
  <c r="AT53" i="4"/>
  <c r="BA45" i="4"/>
  <c r="AT38" i="4"/>
  <c r="AT31" i="4"/>
  <c r="BA31" i="4"/>
  <c r="AT30" i="4"/>
  <c r="AT27" i="4"/>
  <c r="BA27" i="4"/>
  <c r="BA23" i="4"/>
  <c r="AT20" i="4"/>
  <c r="I57" i="4"/>
  <c r="AG96" i="1" s="1"/>
  <c r="AT16" i="4"/>
  <c r="BA16" i="4"/>
  <c r="AT51" i="4"/>
  <c r="BA51" i="4"/>
  <c r="AT33" i="4"/>
  <c r="BA49" i="4"/>
  <c r="AT49" i="4"/>
  <c r="BA32" i="4"/>
  <c r="AT32" i="4"/>
  <c r="BA38" i="4"/>
  <c r="BA53" i="4"/>
  <c r="BA29" i="4"/>
  <c r="BA15" i="4"/>
  <c r="AT44" i="4"/>
  <c r="BA44" i="4"/>
  <c r="AT48" i="4"/>
  <c r="BA48" i="4"/>
  <c r="AT40" i="4"/>
  <c r="BA40" i="4"/>
  <c r="AT14" i="4"/>
  <c r="BA14" i="4"/>
  <c r="BA52" i="4"/>
  <c r="AT52" i="4"/>
  <c r="BA37" i="4"/>
  <c r="AT37" i="4"/>
  <c r="BA28" i="4"/>
  <c r="AT28" i="4"/>
  <c r="J38" i="2"/>
  <c r="J37" i="2"/>
  <c r="AY95" i="1" s="1"/>
  <c r="J36" i="2"/>
  <c r="AX95" i="1" s="1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7" i="2"/>
  <c r="BH227" i="2"/>
  <c r="BG227" i="2"/>
  <c r="BF227" i="2"/>
  <c r="T227" i="2"/>
  <c r="R227" i="2"/>
  <c r="P227" i="2"/>
  <c r="BI225" i="2"/>
  <c r="BH225" i="2"/>
  <c r="BG225" i="2"/>
  <c r="BF225" i="2"/>
  <c r="T225" i="2"/>
  <c r="R225" i="2"/>
  <c r="P225" i="2"/>
  <c r="BI223" i="2"/>
  <c r="BH223" i="2"/>
  <c r="BG223" i="2"/>
  <c r="BF223" i="2"/>
  <c r="T223" i="2"/>
  <c r="R223" i="2"/>
  <c r="P223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3" i="2"/>
  <c r="BH193" i="2"/>
  <c r="BG193" i="2"/>
  <c r="BF193" i="2"/>
  <c r="T193" i="2"/>
  <c r="R193" i="2"/>
  <c r="P193" i="2"/>
  <c r="BI188" i="2"/>
  <c r="BH188" i="2"/>
  <c r="BG188" i="2"/>
  <c r="BF188" i="2"/>
  <c r="T188" i="2"/>
  <c r="R188" i="2"/>
  <c r="P188" i="2"/>
  <c r="BI184" i="2"/>
  <c r="BH184" i="2"/>
  <c r="BG184" i="2"/>
  <c r="BF184" i="2"/>
  <c r="T184" i="2"/>
  <c r="T183" i="2" s="1"/>
  <c r="R184" i="2"/>
  <c r="R183" i="2" s="1"/>
  <c r="P184" i="2"/>
  <c r="P183" i="2" s="1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1" i="2"/>
  <c r="BH171" i="2"/>
  <c r="BG171" i="2"/>
  <c r="BF171" i="2"/>
  <c r="T171" i="2"/>
  <c r="R171" i="2"/>
  <c r="P171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T131" i="2" s="1"/>
  <c r="R132" i="2"/>
  <c r="R131" i="2" s="1"/>
  <c r="P132" i="2"/>
  <c r="P131" i="2" s="1"/>
  <c r="F126" i="2"/>
  <c r="F125" i="2"/>
  <c r="F123" i="2"/>
  <c r="E121" i="2"/>
  <c r="F88" i="2"/>
  <c r="E86" i="2"/>
  <c r="J24" i="2"/>
  <c r="E24" i="2"/>
  <c r="J126" i="2" s="1"/>
  <c r="J23" i="2"/>
  <c r="J21" i="2"/>
  <c r="E21" i="2"/>
  <c r="J90" i="2" s="1"/>
  <c r="J20" i="2"/>
  <c r="E7" i="2"/>
  <c r="E119" i="2" s="1"/>
  <c r="L90" i="1"/>
  <c r="AM90" i="1"/>
  <c r="AM89" i="1"/>
  <c r="L89" i="1"/>
  <c r="L87" i="1"/>
  <c r="L85" i="1"/>
  <c r="L84" i="1"/>
  <c r="J227" i="2"/>
  <c r="BK196" i="2"/>
  <c r="J153" i="2"/>
  <c r="J225" i="2"/>
  <c r="J171" i="2"/>
  <c r="J164" i="2"/>
  <c r="J230" i="2"/>
  <c r="J156" i="2"/>
  <c r="BK193" i="2"/>
  <c r="J132" i="2"/>
  <c r="BK166" i="2"/>
  <c r="BK205" i="2"/>
  <c r="J137" i="2"/>
  <c r="BK227" i="2"/>
  <c r="BK176" i="2"/>
  <c r="BK234" i="2"/>
  <c r="J221" i="2"/>
  <c r="J207" i="2"/>
  <c r="J166" i="2"/>
  <c r="BK137" i="2"/>
  <c r="BK158" i="2"/>
  <c r="J219" i="2"/>
  <c r="J193" i="2"/>
  <c r="BK216" i="2"/>
  <c r="BK225" i="2"/>
  <c r="BK179" i="2"/>
  <c r="BK181" i="2"/>
  <c r="BK209" i="2"/>
  <c r="BK135" i="2"/>
  <c r="BK146" i="2"/>
  <c r="J205" i="2"/>
  <c r="J139" i="2"/>
  <c r="J179" i="2"/>
  <c r="J176" i="2"/>
  <c r="J223" i="2"/>
  <c r="J198" i="2"/>
  <c r="J144" i="2"/>
  <c r="BK132" i="2"/>
  <c r="BK223" i="2"/>
  <c r="BK171" i="2"/>
  <c r="J234" i="2"/>
  <c r="BK184" i="2"/>
  <c r="BK144" i="2"/>
  <c r="BK207" i="2"/>
  <c r="J135" i="2"/>
  <c r="BK198" i="2"/>
  <c r="BK160" i="2"/>
  <c r="BK221" i="2"/>
  <c r="BK139" i="2"/>
  <c r="BK230" i="2"/>
  <c r="J216" i="2"/>
  <c r="BK164" i="2"/>
  <c r="BK188" i="2"/>
  <c r="J200" i="2"/>
  <c r="J184" i="2"/>
  <c r="BK203" i="2"/>
  <c r="J196" i="2"/>
  <c r="AS94" i="1"/>
  <c r="J188" i="2"/>
  <c r="J158" i="2"/>
  <c r="BK232" i="2"/>
  <c r="BK153" i="2"/>
  <c r="BK219" i="2"/>
  <c r="J181" i="2"/>
  <c r="J162" i="2"/>
  <c r="BK162" i="2"/>
  <c r="J148" i="2"/>
  <c r="BK156" i="2"/>
  <c r="BK200" i="2"/>
  <c r="BK148" i="2"/>
  <c r="J232" i="2"/>
  <c r="J203" i="2"/>
  <c r="J160" i="2"/>
  <c r="J209" i="2"/>
  <c r="J146" i="2"/>
  <c r="P202" i="2" l="1"/>
  <c r="R202" i="2"/>
  <c r="T202" i="2"/>
  <c r="R155" i="2"/>
  <c r="P187" i="2"/>
  <c r="T155" i="2"/>
  <c r="BK195" i="2"/>
  <c r="J195" i="2" s="1"/>
  <c r="J104" i="2" s="1"/>
  <c r="BK229" i="2"/>
  <c r="J229" i="2" s="1"/>
  <c r="J107" i="2" s="1"/>
  <c r="R134" i="2"/>
  <c r="P178" i="2"/>
  <c r="T195" i="2"/>
  <c r="P218" i="2"/>
  <c r="R218" i="2"/>
  <c r="T134" i="2"/>
  <c r="R178" i="2"/>
  <c r="T187" i="2"/>
  <c r="BK134" i="2"/>
  <c r="J134" i="2" s="1"/>
  <c r="J98" i="2" s="1"/>
  <c r="BK155" i="2"/>
  <c r="J155" i="2" s="1"/>
  <c r="J99" i="2" s="1"/>
  <c r="T178" i="2"/>
  <c r="R195" i="2"/>
  <c r="P229" i="2"/>
  <c r="P155" i="2"/>
  <c r="P195" i="2"/>
  <c r="R229" i="2"/>
  <c r="P134" i="2"/>
  <c r="BK178" i="2"/>
  <c r="J178" i="2" s="1"/>
  <c r="J100" i="2" s="1"/>
  <c r="BK187" i="2"/>
  <c r="J187" i="2" s="1"/>
  <c r="R187" i="2"/>
  <c r="BK218" i="2"/>
  <c r="J218" i="2" s="1"/>
  <c r="J106" i="2" s="1"/>
  <c r="T218" i="2"/>
  <c r="T229" i="2"/>
  <c r="BK183" i="2"/>
  <c r="J183" i="2" s="1"/>
  <c r="J101" i="2" s="1"/>
  <c r="BK202" i="2"/>
  <c r="J202" i="2" s="1"/>
  <c r="J105" i="2" s="1"/>
  <c r="BK131" i="2"/>
  <c r="J131" i="2" s="1"/>
  <c r="J97" i="2" s="1"/>
  <c r="J91" i="2"/>
  <c r="J125" i="2"/>
  <c r="BE132" i="2"/>
  <c r="BE188" i="2"/>
  <c r="BE223" i="2"/>
  <c r="BE227" i="2"/>
  <c r="BE171" i="2"/>
  <c r="BE198" i="2"/>
  <c r="BE230" i="2"/>
  <c r="BE232" i="2"/>
  <c r="BE234" i="2"/>
  <c r="E84" i="2"/>
  <c r="BE166" i="2"/>
  <c r="J123" i="2"/>
  <c r="BE219" i="2"/>
  <c r="BE137" i="2"/>
  <c r="BE160" i="2"/>
  <c r="BE162" i="2"/>
  <c r="BE200" i="2"/>
  <c r="BE209" i="2"/>
  <c r="BE135" i="2"/>
  <c r="BE144" i="2"/>
  <c r="BE156" i="2"/>
  <c r="BE176" i="2"/>
  <c r="BE193" i="2"/>
  <c r="BE207" i="2"/>
  <c r="BE221" i="2"/>
  <c r="BE139" i="2"/>
  <c r="BE146" i="2"/>
  <c r="BE148" i="2"/>
  <c r="BE153" i="2"/>
  <c r="BE164" i="2"/>
  <c r="BE196" i="2"/>
  <c r="BE205" i="2"/>
  <c r="BE216" i="2"/>
  <c r="BE225" i="2"/>
  <c r="BE158" i="2"/>
  <c r="BE179" i="2"/>
  <c r="BE181" i="2"/>
  <c r="BE184" i="2"/>
  <c r="BE203" i="2"/>
  <c r="F38" i="2"/>
  <c r="J35" i="2"/>
  <c r="F37" i="2"/>
  <c r="F36" i="2"/>
  <c r="F35" i="2"/>
  <c r="BA17" i="5" l="1"/>
  <c r="AZ25" i="5"/>
  <c r="BB16" i="5"/>
  <c r="BB15" i="5" s="1"/>
  <c r="AX15" i="5" s="1"/>
  <c r="AZ18" i="5"/>
  <c r="BB25" i="5"/>
  <c r="BD16" i="5"/>
  <c r="BD15" i="5" s="1"/>
  <c r="AZ20" i="5"/>
  <c r="BA19" i="5"/>
  <c r="BB18" i="5"/>
  <c r="BC17" i="5"/>
  <c r="AW16" i="5"/>
  <c r="AV17" i="5"/>
  <c r="AT17" i="5" s="1"/>
  <c r="AZ17" i="5"/>
  <c r="BA16" i="5"/>
  <c r="BA15" i="5" s="1"/>
  <c r="AW15" i="5" s="1"/>
  <c r="BC16" i="5"/>
  <c r="BC15" i="5" s="1"/>
  <c r="AY15" i="5" s="1"/>
  <c r="BA25" i="5"/>
  <c r="AZ19" i="5"/>
  <c r="BA18" i="5"/>
  <c r="BB17" i="5"/>
  <c r="BA95" i="1"/>
  <c r="BA94" i="1" s="1"/>
  <c r="W30" i="1" s="1"/>
  <c r="AZ96" i="1"/>
  <c r="BC95" i="1"/>
  <c r="BC94" i="1" s="1"/>
  <c r="W32" i="1" s="1"/>
  <c r="BB96" i="1"/>
  <c r="BB95" i="1"/>
  <c r="BB94" i="1" s="1"/>
  <c r="AX94" i="1" s="1"/>
  <c r="BA96" i="1"/>
  <c r="BD95" i="1"/>
  <c r="BD94" i="1" s="1"/>
  <c r="W33" i="1" s="1"/>
  <c r="BC96" i="1"/>
  <c r="AW95" i="1"/>
  <c r="AV96" i="1"/>
  <c r="AT96" i="1" s="1"/>
  <c r="J103" i="2"/>
  <c r="J186" i="2"/>
  <c r="T130" i="2"/>
  <c r="P130" i="2"/>
  <c r="R130" i="2"/>
  <c r="R186" i="2"/>
  <c r="R129" i="2" s="1"/>
  <c r="P186" i="2"/>
  <c r="P129" i="2" s="1"/>
  <c r="AU95" i="1" s="1"/>
  <c r="AU94" i="1" s="1"/>
  <c r="T186" i="2"/>
  <c r="BK130" i="2"/>
  <c r="J130" i="2" s="1"/>
  <c r="BK186" i="2"/>
  <c r="J34" i="2"/>
  <c r="F34" i="2"/>
  <c r="J102" i="2" l="1"/>
  <c r="AV95" i="1"/>
  <c r="AT95" i="1" s="1"/>
  <c r="AV16" i="5"/>
  <c r="AT16" i="5" s="1"/>
  <c r="AZ95" i="1"/>
  <c r="AZ94" i="1" s="1"/>
  <c r="AV94" i="1" s="1"/>
  <c r="AK29" i="1" s="1"/>
  <c r="AZ16" i="5"/>
  <c r="AZ15" i="5" s="1"/>
  <c r="AV15" i="5" s="1"/>
  <c r="AT15" i="5" s="1"/>
  <c r="AY94" i="1"/>
  <c r="AW94" i="1"/>
  <c r="AK30" i="1" s="1"/>
  <c r="W31" i="1"/>
  <c r="T129" i="2"/>
  <c r="J96" i="2"/>
  <c r="J129" i="2"/>
  <c r="BK129" i="2"/>
  <c r="W29" i="1" l="1"/>
  <c r="AT94" i="1"/>
  <c r="J95" i="2"/>
  <c r="J30" i="2" s="1"/>
  <c r="J31" i="2" l="1"/>
  <c r="AG95" i="1" s="1"/>
  <c r="AG94" i="1" l="1"/>
  <c r="J40" i="2"/>
  <c r="AG16" i="5" l="1"/>
  <c r="AG20" i="5"/>
  <c r="AG19" i="5"/>
  <c r="AG18" i="5"/>
  <c r="AG23" i="5"/>
  <c r="AG17" i="5"/>
  <c r="AG25" i="5" s="1"/>
  <c r="AG22" i="5"/>
  <c r="AG21" i="5"/>
  <c r="AV22" i="5"/>
  <c r="AT22" i="5" s="1"/>
  <c r="AW21" i="5"/>
  <c r="AT21" i="5" s="1"/>
  <c r="AX20" i="5"/>
  <c r="AY19" i="5"/>
  <c r="AK26" i="1"/>
  <c r="AK35" i="1" s="1"/>
</calcChain>
</file>

<file path=xl/sharedStrings.xml><?xml version="1.0" encoding="utf-8"?>
<sst xmlns="http://schemas.openxmlformats.org/spreadsheetml/2006/main" count="1705" uniqueCount="413">
  <si>
    <t>Export Komplet</t>
  </si>
  <si>
    <t/>
  </si>
  <si>
    <t>2.0</t>
  </si>
  <si>
    <t>False</t>
  </si>
  <si>
    <t>{9f5021ef-b8f6-429f-936f-dd6c7b08f19a}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</si>
  <si>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</si>
  <si>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</si>
  <si>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</si>
  <si>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</si>
  <si>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</si>
  <si>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</si>
  <si>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</si>
  <si>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</si>
  <si>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0232022</t>
  </si>
  <si>
    <t>Stavba:</t>
  </si>
  <si>
    <t>Oprava vzorové bytové jednotky budova YA</t>
  </si>
  <si>
    <t>KSO:</t>
  </si>
  <si>
    <t>CC-CZ:</t>
  </si>
  <si>
    <t>Místo:</t>
  </si>
  <si>
    <t>Olomouc</t>
  </si>
  <si>
    <t>Datum:</t>
  </si>
  <si>
    <t>Zadavatel:</t>
  </si>
  <si>
    <t>IČ:</t>
  </si>
  <si>
    <t>FN Olomouc</t>
  </si>
  <si>
    <t>DIČ:</t>
  </si>
  <si>
    <t>Zhotovitel: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</si>
  <si>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</si>
  <si>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</si>
  <si>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</si>
  <si>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</si>
  <si>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</si>
  <si>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</si>
  <si>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</si>
  <si>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</si>
  <si>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</si>
  <si>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</si>
  <si>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</si>
  <si>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</si>
  <si>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</si>
  <si>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</si>
  <si>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</si>
  <si>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</si>
  <si>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</si>
  <si>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</si>
  <si>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</si>
  <si>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</si>
  <si>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</si>
  <si>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</si>
  <si>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</si>
  <si>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</si>
  <si>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</si>
  <si>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</si>
  <si>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</si>
  <si>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</si>
  <si>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</si>
  <si>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</si>
  <si>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</si>
  <si>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</si>
  <si>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</si>
  <si>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</si>
  <si>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</si>
  <si>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</si>
  <si>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</si>
  <si>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</si>
  <si>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</si>
  <si>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</si>
  <si>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</si>
  <si>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</si>
  <si>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</si>
  <si>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</si>
  <si>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</si>
  <si>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</si>
  <si>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</si>
  <si>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</si>
  <si>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</si>
  <si>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</si>
  <si>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DOH074</t>
  </si>
  <si>
    <t>STA</t>
  </si>
  <si>
    <t>1</t>
  </si>
  <si>
    <t>{6908db1b-6be1-4d58-af7d-c94a0bc3426d}</t>
  </si>
  <si>
    <t>2</t>
  </si>
  <si>
    <t>KRYCÍ LIST SOUPISU PRACÍ</t>
  </si>
  <si>
    <t>Objekt:</t>
  </si>
  <si>
    <t>DOH074 - Bytova jednotka budova YA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</si>
  <si>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</si>
  <si>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</si>
  <si>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</si>
  <si>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</si>
  <si>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</si>
  <si>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</si>
  <si>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</si>
  <si>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</si>
  <si>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</si>
  <si>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</si>
  <si>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</si>
  <si>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</si>
  <si>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</si>
  <si>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</si>
  <si>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763 - Konstrukce suché výstavby</t>
  </si>
  <si>
    <t xml:space="preserve">    771 - Podlahy z dlaždic</t>
  </si>
  <si>
    <t xml:space="preserve">    781 - Dokončovací práce - obklady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</si>
  <si>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</si>
  <si>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</si>
  <si>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</si>
  <si>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</si>
  <si>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</si>
  <si>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</si>
  <si>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</si>
  <si>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</si>
  <si>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</si>
  <si>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</si>
  <si>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</si>
  <si>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</si>
  <si>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</si>
  <si>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</si>
  <si>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</si>
  <si>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</si>
  <si>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</si>
  <si>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</si>
  <si>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</si>
  <si>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</si>
  <si>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342272245</t>
  </si>
  <si>
    <t>Příčka z pórobetonových hladkých tvárnic na tenkovrstvou maltu tl 75 mm</t>
  </si>
  <si>
    <t>m2</t>
  </si>
  <si>
    <t>4</t>
  </si>
  <si>
    <t>PP</t>
  </si>
  <si>
    <t>6</t>
  </si>
  <si>
    <t>Úpravy povrchů, podlahy a osazování výplní</t>
  </si>
  <si>
    <t>611321131</t>
  </si>
  <si>
    <t>Potažení vnitřních rovných stropů vápenocementovým štukem tloušťky do 3 mm</t>
  </si>
  <si>
    <t>611325411</t>
  </si>
  <si>
    <t>Oprava vnitřní vápenocementové hladké omítky stropů v rozsahu plochy do 10 %</t>
  </si>
  <si>
    <t>612135101</t>
  </si>
  <si>
    <t>Hrubá výplň rýh ve stěnách maltou jakékoli šířky rýhy</t>
  </si>
  <si>
    <t>8</t>
  </si>
  <si>
    <t>VV</t>
  </si>
  <si>
    <t>" drážky voda a kanalizace "</t>
  </si>
  <si>
    <t>0,15*4,5+0,08*1,5</t>
  </si>
  <si>
    <t>Součet</t>
  </si>
  <si>
    <t>5</t>
  </si>
  <si>
    <t>612142001</t>
  </si>
  <si>
    <t>Potažení vnitřních stěn sklovláknitým pletivem vtlačeným do tenkovrstvé hmoty</t>
  </si>
  <si>
    <t>10</t>
  </si>
  <si>
    <t>612321131</t>
  </si>
  <si>
    <t>Potažení vnitřních stěn vápenocementovým štukem tloušťky do 3 mm</t>
  </si>
  <si>
    <t>12</t>
  </si>
  <si>
    <t>7</t>
  </si>
  <si>
    <t>612325411</t>
  </si>
  <si>
    <t>Oprava vnitřní vápenocementové hladké omítky stěn v rozsahu plochy do 10 %</t>
  </si>
  <si>
    <t>14</t>
  </si>
  <si>
    <t>" stáv. stěny "</t>
  </si>
  <si>
    <t>2,66*(7,12*2+4,12+1,85)</t>
  </si>
  <si>
    <t>632451456</t>
  </si>
  <si>
    <t>Potěr pískocementový tl do 50 mm tř. C 25 běžný</t>
  </si>
  <si>
    <t>16</t>
  </si>
  <si>
    <t>9</t>
  </si>
  <si>
    <t>Ostatní konstrukce a práce, bourání</t>
  </si>
  <si>
    <t>949101111</t>
  </si>
  <si>
    <t>Lešení pomocné pro objekty pozemních staveb s lešeňovou podlahou v do 1,9 m zatížení do 150 kg/m2</t>
  </si>
  <si>
    <t>18</t>
  </si>
  <si>
    <t>952901111</t>
  </si>
  <si>
    <t>Vyčištění budov bytové a občanské výstavby při výšce podlaží do 4 m</t>
  </si>
  <si>
    <t>20</t>
  </si>
  <si>
    <t>11</t>
  </si>
  <si>
    <t>962031132</t>
  </si>
  <si>
    <t>Bourání příček z cihel pálených na MVC tl do 100 mm</t>
  </si>
  <si>
    <t>22</t>
  </si>
  <si>
    <t>965045112</t>
  </si>
  <si>
    <t>Bourání potěrů cementových nebo pískocementových tl do 50 mm pl do 4 m2</t>
  </si>
  <si>
    <t>24</t>
  </si>
  <si>
    <t>13</t>
  </si>
  <si>
    <t>968072455</t>
  </si>
  <si>
    <t>Vybourání kovových dveřních zárubní pl do 2 m2</t>
  </si>
  <si>
    <t>ks</t>
  </si>
  <si>
    <t>26</t>
  </si>
  <si>
    <t>974031143</t>
  </si>
  <si>
    <t>Vysekání rýh ve zdivu cihelném hl do 70 mm š do 100 mm</t>
  </si>
  <si>
    <t>m</t>
  </si>
  <si>
    <t>28</t>
  </si>
  <si>
    <t>" drážky kanalizace "</t>
  </si>
  <si>
    <t>1,5</t>
  </si>
  <si>
    <t>974031144</t>
  </si>
  <si>
    <t>Vysekání rýh ve zdivu cihelném hl do 70 mm š do 150 mm</t>
  </si>
  <si>
    <t>30</t>
  </si>
  <si>
    <t>" drážky voda "</t>
  </si>
  <si>
    <t>4,5</t>
  </si>
  <si>
    <t>978059541</t>
  </si>
  <si>
    <t>Odsekání a odebrání obkladů stěn z vnitřních obkládaček plochy přes 1 m2</t>
  </si>
  <si>
    <t>32</t>
  </si>
  <si>
    <t>997</t>
  </si>
  <si>
    <t>Přesun sutě</t>
  </si>
  <si>
    <t>17</t>
  </si>
  <si>
    <t>997013217</t>
  </si>
  <si>
    <t>Vnitrostaveništní doprava suti a vybouraných hmot pro budovy v do 24 m ručně</t>
  </si>
  <si>
    <t>t</t>
  </si>
  <si>
    <t>34</t>
  </si>
  <si>
    <t>Odvoz suti a vybouraných hmot na skládku nebo meziskládku do 1 km se složením</t>
  </si>
  <si>
    <t>36</t>
  </si>
  <si>
    <t>998</t>
  </si>
  <si>
    <t>Přesun hmot</t>
  </si>
  <si>
    <t>19</t>
  </si>
  <si>
    <t>998018003</t>
  </si>
  <si>
    <t>Přesun hmot ruční pro budovy v do 24 m</t>
  </si>
  <si>
    <t>38</t>
  </si>
  <si>
    <t>PSV</t>
  </si>
  <si>
    <t>Práce a dodávky PSV</t>
  </si>
  <si>
    <t>kpl</t>
  </si>
  <si>
    <t>711</t>
  </si>
  <si>
    <t>Izolace proti vodě, vlhkosti a plynům</t>
  </si>
  <si>
    <t>71101(R)</t>
  </si>
  <si>
    <t>izolace minerální stěrkou vč. systémového řešení styku podlaha-stěna, stěna-stěna</t>
  </si>
  <si>
    <t>42</t>
  </si>
  <si>
    <t>" sprcha "</t>
  </si>
  <si>
    <t>1,2*0,9+(1,2+0,9)*2*2-0,6*2</t>
  </si>
  <si>
    <t>998711203</t>
  </si>
  <si>
    <t>Přesun hmot procentní pro izolace proti vodě, vlhkosti a plynům v objektech v do 60 m</t>
  </si>
  <si>
    <t>%</t>
  </si>
  <si>
    <t>44</t>
  </si>
  <si>
    <t>46</t>
  </si>
  <si>
    <t>M</t>
  </si>
  <si>
    <t>54</t>
  </si>
  <si>
    <t>56</t>
  </si>
  <si>
    <t>70</t>
  </si>
  <si>
    <t>72</t>
  </si>
  <si>
    <t>82</t>
  </si>
  <si>
    <t>763</t>
  </si>
  <si>
    <t>Konstrukce suché výstavby</t>
  </si>
  <si>
    <t>45</t>
  </si>
  <si>
    <t>763131451(R)</t>
  </si>
  <si>
    <t>Montáž revizních dvířek 300x300, EI 30min.</t>
  </si>
  <si>
    <t>90</t>
  </si>
  <si>
    <t>763131811</t>
  </si>
  <si>
    <t>Demontáž SDK podhledu s nosnou kcí dřevěnou opláštění jednoduché</t>
  </si>
  <si>
    <t>92</t>
  </si>
  <si>
    <t>47</t>
  </si>
  <si>
    <t>998763403</t>
  </si>
  <si>
    <t>Přesun hmot procentní pro sádrokartonové konstrukce v objektech v do 24 m</t>
  </si>
  <si>
    <t>94</t>
  </si>
  <si>
    <t>771</t>
  </si>
  <si>
    <t>Podlahy z dlaždic</t>
  </si>
  <si>
    <t>53</t>
  </si>
  <si>
    <t>771121011</t>
  </si>
  <si>
    <t>Nátěr penetrační na podlahu</t>
  </si>
  <si>
    <t>106</t>
  </si>
  <si>
    <t>771574122</t>
  </si>
  <si>
    <t>Montáž podlah keramických hladkých lepených flexibilním lepidlem do 100 ks/m2</t>
  </si>
  <si>
    <t>108</t>
  </si>
  <si>
    <t>55</t>
  </si>
  <si>
    <t>597901(R)</t>
  </si>
  <si>
    <t>dodání dlažby 100/100mm - specifikace mat. viz skl.02</t>
  </si>
  <si>
    <t>110</t>
  </si>
  <si>
    <t>Podlahy spárování silikonem</t>
  </si>
  <si>
    <t>112</t>
  </si>
  <si>
    <t>(1,2+0,9)*2</t>
  </si>
  <si>
    <t>" obklad - kouty "</t>
  </si>
  <si>
    <t>3*2,4</t>
  </si>
  <si>
    <t>57</t>
  </si>
  <si>
    <t>998771203</t>
  </si>
  <si>
    <t>Přesun hmot procentní pro podlahy z dlaždic v objektech v do 24 m</t>
  </si>
  <si>
    <t>114</t>
  </si>
  <si>
    <t>781</t>
  </si>
  <si>
    <t>Dokončovací práce - obklady</t>
  </si>
  <si>
    <t>69</t>
  </si>
  <si>
    <t>781121011</t>
  </si>
  <si>
    <t>Nátěr penetrační na stěnu</t>
  </si>
  <si>
    <t>138</t>
  </si>
  <si>
    <t>781474120</t>
  </si>
  <si>
    <t>Montáž obkladů vnitřních keramických hladkých do 100 ks/m2 lepených flexibilním lepidlem</t>
  </si>
  <si>
    <t>140</t>
  </si>
  <si>
    <t>71</t>
  </si>
  <si>
    <t>59703(R)</t>
  </si>
  <si>
    <t>dodání obkladu 100/100mm vč. dopravy</t>
  </si>
  <si>
    <t>142</t>
  </si>
  <si>
    <t>781901(R)</t>
  </si>
  <si>
    <t>D+M nerez profilu na hranu přizdívky</t>
  </si>
  <si>
    <t>144</t>
  </si>
  <si>
    <t>73</t>
  </si>
  <si>
    <t>998781203</t>
  </si>
  <si>
    <t>Přesun hmot procentní pro obklady keramické v objektech v do 24 m</t>
  </si>
  <si>
    <t>146</t>
  </si>
  <si>
    <t>VRN</t>
  </si>
  <si>
    <t>Vedlejší rozpočtové náklady</t>
  </si>
  <si>
    <t>81</t>
  </si>
  <si>
    <t>VRN1</t>
  </si>
  <si>
    <t>zařízení staveniště</t>
  </si>
  <si>
    <t>162</t>
  </si>
  <si>
    <t>VRN2</t>
  </si>
  <si>
    <t>kompletační činnost hlavního dodavatele stavby</t>
  </si>
  <si>
    <t>164</t>
  </si>
  <si>
    <t>83</t>
  </si>
  <si>
    <t>VRN3</t>
  </si>
  <si>
    <t>provoz investora</t>
  </si>
  <si>
    <t>166</t>
  </si>
  <si>
    <t>997013501x</t>
  </si>
  <si>
    <t>771591115x</t>
  </si>
  <si>
    <t>Stavební rozpočet</t>
  </si>
  <si>
    <t>Název stavby:</t>
  </si>
  <si>
    <t>Doba výstavby:</t>
  </si>
  <si>
    <t>Druh stavby:</t>
  </si>
  <si>
    <t>1 byt</t>
  </si>
  <si>
    <t>Začátek výstavby:</t>
  </si>
  <si>
    <t>Lokalita:</t>
  </si>
  <si>
    <t>Konec výstavby:</t>
  </si>
  <si>
    <t>JKSO:</t>
  </si>
  <si>
    <t>Zpracováno dne:</t>
  </si>
  <si>
    <t>Č</t>
  </si>
  <si>
    <t>Objekt</t>
  </si>
  <si>
    <t>Zkrácený popis</t>
  </si>
  <si>
    <t>Cena/MJ</t>
  </si>
  <si>
    <t>Hmotnost (t)</t>
  </si>
  <si>
    <t>Cenová</t>
  </si>
  <si>
    <t>ISWORK</t>
  </si>
  <si>
    <t>GROUPCODE</t>
  </si>
  <si>
    <t>Rozměry</t>
  </si>
  <si>
    <t>(Kč)</t>
  </si>
  <si>
    <t>Celkem</t>
  </si>
  <si>
    <t>Jednot.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</si>
  <si>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</si>
  <si>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</si>
  <si>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</si>
  <si>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</si>
  <si>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</si>
  <si>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</si>
  <si>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</si>
  <si>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</si>
  <si>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</si>
  <si>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</si>
  <si>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MAT</t>
  </si>
  <si>
    <t>WORK</t>
  </si>
  <si>
    <t>CELK</t>
  </si>
  <si>
    <t>Vnitřní kanalizace</t>
  </si>
  <si>
    <t>Napojení na stávající rozvod DN 70</t>
  </si>
  <si>
    <t>kus</t>
  </si>
  <si>
    <t>721_</t>
  </si>
  <si>
    <t>72_</t>
  </si>
  <si>
    <t>_</t>
  </si>
  <si>
    <t>P</t>
  </si>
  <si>
    <t>Potrubí HT připojovací D 75 x 1,9 mm</t>
  </si>
  <si>
    <t>Potrubí HT připojovací D 50 x 1,8 mm</t>
  </si>
  <si>
    <t>Potrubí HT připojovací D 40 x 1,8 mm</t>
  </si>
  <si>
    <t>Prač.sifon podomítkový</t>
  </si>
  <si>
    <t>Vyvedení odpadních výpustek D 40 x 1,8</t>
  </si>
  <si>
    <t>Vyvedení odpadních výpustek D 50 x 1,8</t>
  </si>
  <si>
    <t>Práce malého rozsahu (drobné práce)</t>
  </si>
  <si>
    <t>soubor</t>
  </si>
  <si>
    <t>Vnitřní vodovod</t>
  </si>
  <si>
    <t>Demontáž stávajících rozvodů</t>
  </si>
  <si>
    <t>722_</t>
  </si>
  <si>
    <t>Napojení na stávající rozvod vody DN 20</t>
  </si>
  <si>
    <t>Potrubí z PPR, D 20x2,8 mm, PN 20</t>
  </si>
  <si>
    <t>Izolace návleková MIRELON PRO tl. stěny 9 mm</t>
  </si>
  <si>
    <t>Vyvedení a upevnění výpustek DN 15</t>
  </si>
  <si>
    <t>Ventil přímý 1/2" vřetenový</t>
  </si>
  <si>
    <t>Nástěnka K 247, pro výtokový ventil G 1/2</t>
  </si>
  <si>
    <t>Montáž vodovodních armatur 2závity, G 1/2</t>
  </si>
  <si>
    <t>Montáž vodoměru závitového jdnovt. suchob. G1/2"</t>
  </si>
  <si>
    <t>Vodoměr bytový ENBRA ET na stud.vodu, DN 15</t>
  </si>
  <si>
    <t>Vodoměr bytový ENBRA ET na teplou vodu, DN 15</t>
  </si>
  <si>
    <t>Stavební přípomoce</t>
  </si>
  <si>
    <t>Zařizovací předměty</t>
  </si>
  <si>
    <t xml:space="preserve">Klozet kombi s Dual Flush, odpad vodorovný, hluboké splachování, boční přívod, LYRA PLUS vč.sedátka </t>
  </si>
  <si>
    <t>725_</t>
  </si>
  <si>
    <t>23</t>
  </si>
  <si>
    <t>Vanička sprchová, ELIPSO PRO-80 CHROME</t>
  </si>
  <si>
    <t>Kout 1/4kruh 800x1950 mm, posuvný šestidílný, bílá/pearl, R500, SKKP6-80, SUPERNOVA</t>
  </si>
  <si>
    <t>25</t>
  </si>
  <si>
    <t>Umývátko 45x37 cm, otvor pro baterii uprostřed, LYRA PLUS</t>
  </si>
  <si>
    <t>Montáž klozetových mís kombinovaných</t>
  </si>
  <si>
    <t>27</t>
  </si>
  <si>
    <r>
      <t xml:space="preserve">Flexi hadice k wc </t>
    </r>
    <r>
      <rPr>
        <sz val="10"/>
        <color indexed="8"/>
        <rFont val="Calibri"/>
        <family val="2"/>
        <charset val="238"/>
      </rPr>
      <t>ø</t>
    </r>
    <r>
      <rPr>
        <sz val="10"/>
        <color indexed="8"/>
        <rFont val="Arial"/>
        <family val="2"/>
        <charset val="238"/>
      </rPr>
      <t>100</t>
    </r>
  </si>
  <si>
    <t>Montáž sprchových mís a vaniček</t>
  </si>
  <si>
    <t>29</t>
  </si>
  <si>
    <t>Montáž sprchových koutů</t>
  </si>
  <si>
    <t>Montáž umyvadel na šrouby do zdiva</t>
  </si>
  <si>
    <t>31</t>
  </si>
  <si>
    <t>Ventil rohový  DN 15 x DN 10</t>
  </si>
  <si>
    <t>Ventil pračkový DN 20</t>
  </si>
  <si>
    <t>Baterie umyvadlová stojánková páka vodorovná plná bez uzávěru výpusti,chrom, METALIA 55</t>
  </si>
  <si>
    <t>35</t>
  </si>
  <si>
    <t>Baterie sprchová nástěnná páka vodorovná plná, rozteč 150 mm s příslušenstvím, chrom, METALIA 55</t>
  </si>
  <si>
    <t>Montáž baterie umyv.a dřezové stojánkové</t>
  </si>
  <si>
    <t>Drobný dopoj.materiál pro kompletace</t>
  </si>
  <si>
    <t>37</t>
  </si>
  <si>
    <t>Montáž baterií sprchových, pevná výška</t>
  </si>
  <si>
    <t>Uzávěrka zápachová umyvadlová T 1015,D 40</t>
  </si>
  <si>
    <t>39</t>
  </si>
  <si>
    <t>Sifon vaničkový</t>
  </si>
  <si>
    <t>40</t>
  </si>
  <si>
    <t>Montáž uzávěrek zápach.dřez.jednoduchý D 32</t>
  </si>
  <si>
    <t>Ostatní náklady</t>
  </si>
  <si>
    <t>41</t>
  </si>
  <si>
    <t>Režijní náklady</t>
  </si>
  <si>
    <t>90_</t>
  </si>
  <si>
    <t>9_</t>
  </si>
  <si>
    <t>Bytova jednotka budova YA - stavební</t>
  </si>
  <si>
    <t>DOH075</t>
  </si>
  <si>
    <t>Bytova jednotka budova YA - ZTI</t>
  </si>
  <si>
    <t>1.Bytova jednotka budova YA - stavební + ZTI</t>
  </si>
  <si>
    <t>2.Bytova jednotka budova YA - stavební + ZTI</t>
  </si>
  <si>
    <t>3.Bytova jednotka budova YA - stavební + ZTI</t>
  </si>
  <si>
    <t>4.Bytova jednotka budova YA - stavební + ZTI</t>
  </si>
  <si>
    <t>5.Bytova jednotka budova YA - stavební + ZTI</t>
  </si>
  <si>
    <t>6.Bytova jednotka budova YA - stavební + ZTI</t>
  </si>
  <si>
    <t>7.Bytova jednotka budova YA - stavební + ZTI</t>
  </si>
  <si>
    <t>8.Bytova jednotka budova YA - stavební + ZTI</t>
  </si>
  <si>
    <t>Celkem cena za 8 bytů</t>
  </si>
  <si>
    <t>Oprava bytových jednotek YA</t>
  </si>
  <si>
    <t>DOH076</t>
  </si>
  <si>
    <t>DOH077</t>
  </si>
  <si>
    <t>DOH078</t>
  </si>
  <si>
    <t>DOH079</t>
  </si>
  <si>
    <t>DOH080</t>
  </si>
  <si>
    <t>DOH081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</si>
</sst>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sz val="7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charset val="238"/>
    </font>
    <font>
      <sz val="1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i/>
      <sz val="8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</patternFill>
    </fill>
    <fill>
      <patternFill patternType="solid">
        <fgColor indexed="22"/>
        <bgColor indexed="31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6" fillId="0" borderId="0" applyNumberFormat="0" applyFill="0" applyBorder="0" applyAlignment="0" applyProtection="0"/>
    <xf numFmtId="0" fontId="37" fillId="0" borderId="0"/>
  </cellStyleXfs>
  <cellXfs count="3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4" fontId="20" fillId="5" borderId="22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4" fontId="34" fillId="5" borderId="22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37" fillId="0" borderId="0" xfId="2"/>
    <xf numFmtId="0" fontId="39" fillId="0" borderId="27" xfId="2" applyNumberFormat="1" applyFont="1" applyFill="1" applyBorder="1" applyAlignment="1" applyProtection="1">
      <alignment vertical="center"/>
    </xf>
    <xf numFmtId="49" fontId="40" fillId="0" borderId="32" xfId="2" applyNumberFormat="1" applyFont="1" applyFill="1" applyBorder="1" applyAlignment="1" applyProtection="1">
      <alignment horizontal="left" vertical="center"/>
    </xf>
    <xf numFmtId="49" fontId="40" fillId="0" borderId="33" xfId="2" applyNumberFormat="1" applyFont="1" applyFill="1" applyBorder="1" applyAlignment="1" applyProtection="1">
      <alignment horizontal="left" vertical="center"/>
    </xf>
    <xf numFmtId="49" fontId="40" fillId="0" borderId="33" xfId="2" applyNumberFormat="1" applyFont="1" applyFill="1" applyBorder="1" applyAlignment="1" applyProtection="1">
      <alignment horizontal="center" vertical="center"/>
    </xf>
    <xf numFmtId="49" fontId="40" fillId="0" borderId="34" xfId="2" applyNumberFormat="1" applyFont="1" applyFill="1" applyBorder="1" applyAlignment="1" applyProtection="1">
      <alignment horizontal="center" vertical="center"/>
    </xf>
    <xf numFmtId="49" fontId="40" fillId="0" borderId="35" xfId="2" applyNumberFormat="1" applyFont="1" applyFill="1" applyBorder="1" applyAlignment="1" applyProtection="1">
      <alignment horizontal="center" vertical="center"/>
    </xf>
    <xf numFmtId="49" fontId="40" fillId="0" borderId="36" xfId="2" applyNumberFormat="1" applyFont="1" applyFill="1" applyBorder="1" applyAlignment="1" applyProtection="1">
      <alignment horizontal="center" vertical="center"/>
    </xf>
    <xf numFmtId="0" fontId="39" fillId="0" borderId="37" xfId="2" applyNumberFormat="1" applyFont="1" applyFill="1" applyBorder="1" applyAlignment="1" applyProtection="1">
      <alignment vertical="center"/>
    </xf>
    <xf numFmtId="49" fontId="40" fillId="6" borderId="0" xfId="2" applyNumberFormat="1" applyFont="1" applyFill="1" applyBorder="1" applyAlignment="1" applyProtection="1">
      <alignment horizontal="right" vertical="center"/>
    </xf>
    <xf numFmtId="49" fontId="40" fillId="0" borderId="0" xfId="2" applyNumberFormat="1" applyFont="1" applyFill="1" applyBorder="1" applyAlignment="1" applyProtection="1">
      <alignment horizontal="right" vertical="center"/>
    </xf>
    <xf numFmtId="49" fontId="39" fillId="0" borderId="38" xfId="2" applyNumberFormat="1" applyFont="1" applyFill="1" applyBorder="1" applyAlignment="1" applyProtection="1">
      <alignment horizontal="left" vertical="center"/>
    </xf>
    <xf numFmtId="49" fontId="39" fillId="0" borderId="39" xfId="2" applyNumberFormat="1" applyFont="1" applyFill="1" applyBorder="1" applyAlignment="1" applyProtection="1">
      <alignment horizontal="left" vertical="center"/>
    </xf>
    <xf numFmtId="49" fontId="40" fillId="0" borderId="40" xfId="2" applyNumberFormat="1" applyFont="1" applyFill="1" applyBorder="1" applyAlignment="1" applyProtection="1">
      <alignment horizontal="center" vertical="center"/>
    </xf>
    <xf numFmtId="49" fontId="40" fillId="0" borderId="41" xfId="2" applyNumberFormat="1" applyFont="1" applyFill="1" applyBorder="1" applyAlignment="1" applyProtection="1">
      <alignment horizontal="center" vertical="center"/>
    </xf>
    <xf numFmtId="49" fontId="40" fillId="0" borderId="42" xfId="2" applyNumberFormat="1" applyFont="1" applyFill="1" applyBorder="1" applyAlignment="1" applyProtection="1">
      <alignment horizontal="center" vertical="center"/>
    </xf>
    <xf numFmtId="49" fontId="40" fillId="0" borderId="43" xfId="2" applyNumberFormat="1" applyFont="1" applyFill="1" applyBorder="1" applyAlignment="1" applyProtection="1">
      <alignment horizontal="center" vertical="center"/>
    </xf>
    <xf numFmtId="49" fontId="39" fillId="6" borderId="44" xfId="2" applyNumberFormat="1" applyFont="1" applyFill="1" applyBorder="1" applyAlignment="1" applyProtection="1">
      <alignment horizontal="left" vertical="center"/>
    </xf>
    <xf numFmtId="49" fontId="40" fillId="6" borderId="45" xfId="2" applyNumberFormat="1" applyFont="1" applyFill="1" applyBorder="1" applyAlignment="1" applyProtection="1">
      <alignment horizontal="left" vertical="center"/>
    </xf>
    <xf numFmtId="49" fontId="39" fillId="6" borderId="45" xfId="2" applyNumberFormat="1" applyFont="1" applyFill="1" applyBorder="1" applyAlignment="1" applyProtection="1">
      <alignment horizontal="left" vertical="center"/>
    </xf>
    <xf numFmtId="4" fontId="40" fillId="6" borderId="45" xfId="2" applyNumberFormat="1" applyFont="1" applyFill="1" applyBorder="1" applyAlignment="1" applyProtection="1">
      <alignment horizontal="right" vertical="center"/>
    </xf>
    <xf numFmtId="49" fontId="40" fillId="6" borderId="45" xfId="2" applyNumberFormat="1" applyFont="1" applyFill="1" applyBorder="1" applyAlignment="1" applyProtection="1">
      <alignment horizontal="right" vertical="center"/>
    </xf>
    <xf numFmtId="49" fontId="40" fillId="6" borderId="46" xfId="2" applyNumberFormat="1" applyFont="1" applyFill="1" applyBorder="1" applyAlignment="1" applyProtection="1">
      <alignment horizontal="right" vertical="center"/>
    </xf>
    <xf numFmtId="4" fontId="40" fillId="6" borderId="0" xfId="2" applyNumberFormat="1" applyFont="1" applyFill="1" applyBorder="1" applyAlignment="1" applyProtection="1">
      <alignment horizontal="right" vertical="center"/>
    </xf>
    <xf numFmtId="49" fontId="39" fillId="0" borderId="27" xfId="2" applyNumberFormat="1" applyFont="1" applyFill="1" applyBorder="1" applyAlignment="1" applyProtection="1">
      <alignment horizontal="left" vertical="center"/>
    </xf>
    <xf numFmtId="49" fontId="39" fillId="0" borderId="0" xfId="2" applyNumberFormat="1" applyFont="1" applyFill="1" applyBorder="1" applyAlignment="1" applyProtection="1">
      <alignment horizontal="left" vertical="center"/>
    </xf>
    <xf numFmtId="4" fontId="39" fillId="0" borderId="0" xfId="2" applyNumberFormat="1" applyFont="1" applyFill="1" applyBorder="1" applyAlignment="1" applyProtection="1">
      <alignment horizontal="right" vertical="center"/>
    </xf>
    <xf numFmtId="49" fontId="39" fillId="0" borderId="28" xfId="2" applyNumberFormat="1" applyFont="1" applyFill="1" applyBorder="1" applyAlignment="1" applyProtection="1">
      <alignment horizontal="right" vertical="center"/>
    </xf>
    <xf numFmtId="49" fontId="39" fillId="0" borderId="0" xfId="2" applyNumberFormat="1" applyFont="1" applyFill="1" applyBorder="1" applyAlignment="1" applyProtection="1">
      <alignment horizontal="right" vertical="center"/>
    </xf>
    <xf numFmtId="49" fontId="39" fillId="6" borderId="27" xfId="2" applyNumberFormat="1" applyFont="1" applyFill="1" applyBorder="1" applyAlignment="1" applyProtection="1">
      <alignment horizontal="left" vertical="center"/>
    </xf>
    <xf numFmtId="49" fontId="40" fillId="6" borderId="0" xfId="2" applyNumberFormat="1" applyFont="1" applyFill="1" applyBorder="1" applyAlignment="1" applyProtection="1">
      <alignment horizontal="left" vertical="center"/>
    </xf>
    <xf numFmtId="49" fontId="39" fillId="6" borderId="0" xfId="2" applyNumberFormat="1" applyFont="1" applyFill="1" applyBorder="1" applyAlignment="1" applyProtection="1">
      <alignment horizontal="left" vertical="center"/>
    </xf>
    <xf numFmtId="49" fontId="40" fillId="6" borderId="28" xfId="2" applyNumberFormat="1" applyFont="1" applyFill="1" applyBorder="1" applyAlignment="1" applyProtection="1">
      <alignment horizontal="right" vertical="center"/>
    </xf>
    <xf numFmtId="49" fontId="39" fillId="0" borderId="47" xfId="2" applyNumberFormat="1" applyFont="1" applyFill="1" applyBorder="1" applyAlignment="1" applyProtection="1">
      <alignment horizontal="left" vertical="center"/>
    </xf>
    <xf numFmtId="49" fontId="39" fillId="0" borderId="23" xfId="2" applyNumberFormat="1" applyFont="1" applyFill="1" applyBorder="1" applyAlignment="1" applyProtection="1">
      <alignment horizontal="left" vertical="center"/>
    </xf>
    <xf numFmtId="4" fontId="39" fillId="0" borderId="23" xfId="2" applyNumberFormat="1" applyFont="1" applyFill="1" applyBorder="1" applyAlignment="1" applyProtection="1">
      <alignment horizontal="right" vertical="center"/>
    </xf>
    <xf numFmtId="49" fontId="39" fillId="0" borderId="48" xfId="2" applyNumberFormat="1" applyFont="1" applyFill="1" applyBorder="1" applyAlignment="1" applyProtection="1">
      <alignment horizontal="right" vertical="center"/>
    </xf>
    <xf numFmtId="0" fontId="39" fillId="0" borderId="25" xfId="2" applyNumberFormat="1" applyFont="1" applyFill="1" applyBorder="1" applyAlignment="1" applyProtection="1">
      <alignment vertical="center"/>
    </xf>
    <xf numFmtId="4" fontId="40" fillId="0" borderId="25" xfId="2" applyNumberFormat="1" applyFont="1" applyFill="1" applyBorder="1" applyAlignment="1" applyProtection="1">
      <alignment horizontal="right" vertical="center"/>
    </xf>
    <xf numFmtId="49" fontId="42" fillId="0" borderId="0" xfId="2" applyNumberFormat="1" applyFont="1" applyFill="1" applyBorder="1" applyAlignment="1" applyProtection="1">
      <alignment horizontal="left" vertical="center"/>
    </xf>
    <xf numFmtId="4" fontId="37" fillId="0" borderId="0" xfId="2" applyNumberFormat="1"/>
    <xf numFmtId="0" fontId="0" fillId="0" borderId="0" xfId="0"/>
    <xf numFmtId="0" fontId="25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49" fontId="39" fillId="0" borderId="0" xfId="2" applyNumberFormat="1" applyFont="1" applyFill="1" applyBorder="1" applyAlignment="1" applyProtection="1">
      <alignment horizontal="left" vertical="center"/>
    </xf>
    <xf numFmtId="49" fontId="40" fillId="6" borderId="0" xfId="2" applyNumberFormat="1" applyFont="1" applyFill="1" applyBorder="1" applyAlignment="1" applyProtection="1">
      <alignment horizontal="left" vertical="center"/>
    </xf>
    <xf numFmtId="49" fontId="39" fillId="0" borderId="23" xfId="2" applyNumberFormat="1" applyFont="1" applyFill="1" applyBorder="1" applyAlignment="1" applyProtection="1">
      <alignment horizontal="left" vertical="center"/>
    </xf>
    <xf numFmtId="0" fontId="39" fillId="0" borderId="0" xfId="2" applyNumberFormat="1" applyFont="1" applyFill="1" applyBorder="1" applyAlignment="1" applyProtection="1">
      <alignment horizontal="left" vertical="center" wrapText="1"/>
    </xf>
    <xf numFmtId="49" fontId="39" fillId="0" borderId="0" xfId="2" applyNumberFormat="1" applyFont="1" applyFill="1" applyBorder="1" applyAlignment="1" applyProtection="1">
      <alignment horizontal="left" vertical="center" wrapText="1"/>
    </xf>
    <xf numFmtId="49" fontId="39" fillId="0" borderId="0" xfId="2" applyNumberFormat="1" applyFont="1" applyFill="1" applyBorder="1" applyAlignment="1" applyProtection="1">
      <alignment horizontal="left" vertical="top" wrapText="1"/>
    </xf>
    <xf numFmtId="49" fontId="40" fillId="0" borderId="33" xfId="2" applyNumberFormat="1" applyFont="1" applyFill="1" applyBorder="1" applyAlignment="1" applyProtection="1">
      <alignment horizontal="left" vertical="center"/>
    </xf>
    <xf numFmtId="49" fontId="40" fillId="0" borderId="35" xfId="2" applyNumberFormat="1" applyFont="1" applyFill="1" applyBorder="1" applyAlignment="1" applyProtection="1">
      <alignment horizontal="center" vertical="center"/>
    </xf>
    <xf numFmtId="49" fontId="40" fillId="0" borderId="39" xfId="2" applyNumberFormat="1" applyFont="1" applyFill="1" applyBorder="1" applyAlignment="1" applyProtection="1">
      <alignment horizontal="left" vertical="center"/>
    </xf>
    <xf numFmtId="49" fontId="40" fillId="6" borderId="45" xfId="2" applyNumberFormat="1" applyFont="1" applyFill="1" applyBorder="1" applyAlignment="1" applyProtection="1">
      <alignment horizontal="left" vertical="center"/>
    </xf>
    <xf numFmtId="49" fontId="39" fillId="0" borderId="28" xfId="2" applyNumberFormat="1" applyFont="1" applyFill="1" applyBorder="1" applyAlignment="1" applyProtection="1">
      <alignment horizontal="left" vertical="center"/>
    </xf>
    <xf numFmtId="49" fontId="39" fillId="0" borderId="31" xfId="2" applyNumberFormat="1" applyFont="1" applyFill="1" applyBorder="1" applyAlignment="1" applyProtection="1">
      <alignment horizontal="left" vertical="center"/>
    </xf>
    <xf numFmtId="0" fontId="39" fillId="0" borderId="29" xfId="2" applyNumberFormat="1" applyFont="1" applyFill="1" applyBorder="1" applyAlignment="1" applyProtection="1">
      <alignment horizontal="left" vertical="center" wrapText="1"/>
    </xf>
    <xf numFmtId="0" fontId="39" fillId="0" borderId="30" xfId="2" applyNumberFormat="1" applyFont="1" applyFill="1" applyBorder="1" applyAlignment="1" applyProtection="1">
      <alignment horizontal="left" vertical="center" wrapText="1"/>
    </xf>
    <xf numFmtId="49" fontId="39" fillId="0" borderId="30" xfId="2" applyNumberFormat="1" applyFont="1" applyFill="1" applyBorder="1" applyAlignment="1" applyProtection="1">
      <alignment horizontal="left" vertical="center"/>
    </xf>
    <xf numFmtId="49" fontId="38" fillId="0" borderId="23" xfId="2" applyNumberFormat="1" applyFont="1" applyFill="1" applyBorder="1" applyAlignment="1" applyProtection="1">
      <alignment horizontal="center"/>
    </xf>
    <xf numFmtId="0" fontId="39" fillId="0" borderId="24" xfId="2" applyNumberFormat="1" applyFont="1" applyFill="1" applyBorder="1" applyAlignment="1" applyProtection="1">
      <alignment horizontal="left" vertical="center" wrapText="1"/>
    </xf>
    <xf numFmtId="0" fontId="40" fillId="0" borderId="25" xfId="2" applyNumberFormat="1" applyFont="1" applyFill="1" applyBorder="1" applyAlignment="1" applyProtection="1">
      <alignment horizontal="left" vertical="center" wrapText="1"/>
    </xf>
    <xf numFmtId="49" fontId="39" fillId="0" borderId="25" xfId="2" applyNumberFormat="1" applyFont="1" applyFill="1" applyBorder="1" applyAlignment="1" applyProtection="1">
      <alignment horizontal="left" vertical="center"/>
    </xf>
    <xf numFmtId="49" fontId="39" fillId="0" borderId="26" xfId="2" applyNumberFormat="1" applyFont="1" applyFill="1" applyBorder="1" applyAlignment="1" applyProtection="1">
      <alignment horizontal="left" vertical="center"/>
    </xf>
    <xf numFmtId="0" fontId="39" fillId="0" borderId="27" xfId="2" applyNumberFormat="1" applyFont="1" applyFill="1" applyBorder="1" applyAlignment="1" applyProtection="1">
      <alignment horizontal="left" vertical="center" wrapText="1"/>
    </xf>
  </cellXfs>
  <cellStyles count="3">
    <cellStyle name="Hypertextový odkaz" xfId="1" builtinId="8"/>
    <cellStyle name="Normální" xfId="0" builtinId="0" customBuiltin="1"/>
    <cellStyle name="Normální 2" xfId="2" xr:uid="{0DA749A4-12F6-42BC-82C7-6F6AE6B6C935}"/>
  </cellStyles>
  <dxfs count="0"/>
  <tableStyles count="0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541B-3E28-4961-BB1D-132746E8E237}">
  <dimension ref="A2:CM26"/>
  <sheetViews>
    <sheetView tabSelected="1" workbookViewId="0">
      <selection activeCell="BE17" sqref="BE17"/>
    </sheetView>
  </sheetViews>
  <sheetFormatPr defaultRowHeight="11.25" x14ac:dyDescent="0.2"/>
  <cols>
    <col min="1" max="1" width="8.33203125" style="238" customWidth="1"/>
    <col min="2" max="2" width="1.6640625" style="238" customWidth="1"/>
    <col min="3" max="3" width="4.1640625" style="238" customWidth="1"/>
    <col min="4" max="33" width="2.6640625" style="238" customWidth="1"/>
    <col min="34" max="34" width="3.33203125" style="238" customWidth="1"/>
    <col min="35" max="35" width="31.6640625" style="238" customWidth="1"/>
    <col min="36" max="37" width="2.5" style="238" customWidth="1"/>
    <col min="38" max="38" width="8.33203125" style="238" customWidth="1"/>
    <col min="39" max="39" width="3.33203125" style="238" customWidth="1"/>
    <col min="40" max="40" width="13.33203125" style="238" customWidth="1"/>
    <col min="41" max="41" width="7.5" style="238" customWidth="1"/>
    <col min="42" max="42" width="4.1640625" style="238" customWidth="1"/>
    <col min="43" max="43" width="15.6640625" style="238" hidden="1" customWidth="1"/>
    <col min="44" max="44" width="13.6640625" style="238" customWidth="1"/>
    <col min="45" max="47" width="25.83203125" style="238" hidden="1" customWidth="1"/>
    <col min="48" max="49" width="21.6640625" style="238" hidden="1" customWidth="1"/>
    <col min="50" max="51" width="25" style="238" hidden="1" customWidth="1"/>
    <col min="52" max="52" width="21.6640625" style="238" hidden="1" customWidth="1"/>
    <col min="53" max="53" width="19.1640625" style="238" hidden="1" customWidth="1"/>
    <col min="54" max="54" width="25" style="238" hidden="1" customWidth="1"/>
    <col min="55" max="55" width="21.6640625" style="238" hidden="1" customWidth="1"/>
    <col min="56" max="56" width="19.1640625" style="238" hidden="1" customWidth="1"/>
    <col min="57" max="57" width="66.5" style="238" customWidth="1"/>
    <col min="58" max="16384" width="9.33203125" style="238"/>
  </cols>
  <sheetData>
    <row r="2" spans="1:91" s="2" customFormat="1" ht="6.95" customHeight="1" x14ac:dyDescent="0.2">
      <c r="A2" s="2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30"/>
      <c r="BE2" s="245"/>
    </row>
    <row r="3" spans="1:91" s="2" customFormat="1" ht="24.95" customHeight="1" x14ac:dyDescent="0.2">
      <c r="A3" s="245"/>
      <c r="B3" s="30"/>
      <c r="C3" s="21" t="s">
        <v>50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30"/>
      <c r="BE3" s="245"/>
    </row>
    <row r="4" spans="1:91" s="2" customFormat="1" ht="6.95" customHeight="1" x14ac:dyDescent="0.2">
      <c r="A4" s="245"/>
      <c r="B4" s="3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30"/>
      <c r="BE4" s="245"/>
    </row>
    <row r="5" spans="1:91" s="243" customFormat="1" ht="12" customHeight="1" x14ac:dyDescent="0.2">
      <c r="B5" s="48"/>
      <c r="C5" s="244" t="s">
        <v>12</v>
      </c>
      <c r="AR5" s="48"/>
    </row>
    <row r="6" spans="1:91" s="242" customFormat="1" ht="36.950000000000003" customHeight="1" x14ac:dyDescent="0.2">
      <c r="B6" s="49"/>
      <c r="C6" s="50" t="s">
        <v>14</v>
      </c>
      <c r="L6" s="246" t="s">
        <v>406</v>
      </c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R6" s="49"/>
    </row>
    <row r="7" spans="1:91" s="2" customFormat="1" ht="6.95" customHeight="1" x14ac:dyDescent="0.2">
      <c r="A7" s="245"/>
      <c r="B7" s="30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30"/>
      <c r="BE7" s="245"/>
    </row>
    <row r="8" spans="1:91" s="2" customFormat="1" ht="12" customHeight="1" x14ac:dyDescent="0.2">
      <c r="A8" s="245"/>
      <c r="B8" s="30"/>
      <c r="C8" s="244" t="s">
        <v>18</v>
      </c>
      <c r="D8" s="245"/>
      <c r="E8" s="245"/>
      <c r="F8" s="245"/>
      <c r="G8" s="245"/>
      <c r="H8" s="245"/>
      <c r="I8" s="245"/>
      <c r="J8" s="245"/>
      <c r="K8" s="245"/>
      <c r="L8" s="51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4" t="s">
        <v>20</v>
      </c>
      <c r="AJ8" s="245"/>
      <c r="AK8" s="245"/>
      <c r="AL8" s="245"/>
      <c r="AM8" s="248"/>
      <c r="AN8" s="248"/>
      <c r="AO8" s="245"/>
      <c r="AP8" s="245"/>
      <c r="AQ8" s="245"/>
      <c r="AR8" s="30"/>
      <c r="BE8" s="245"/>
    </row>
    <row r="9" spans="1:91" s="2" customFormat="1" ht="6.95" customHeight="1" x14ac:dyDescent="0.2">
      <c r="A9" s="245"/>
      <c r="B9" s="30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30"/>
      <c r="BE9" s="245"/>
    </row>
    <row r="10" spans="1:91" s="2" customFormat="1" ht="15.2" customHeight="1" x14ac:dyDescent="0.2">
      <c r="A10" s="245"/>
      <c r="B10" s="30"/>
      <c r="C10" s="244" t="s">
        <v>21</v>
      </c>
      <c r="D10" s="245"/>
      <c r="E10" s="245"/>
      <c r="F10" s="245"/>
      <c r="G10" s="245"/>
      <c r="H10" s="245"/>
      <c r="I10" s="245"/>
      <c r="J10" s="245"/>
      <c r="K10" s="245"/>
      <c r="L10" s="243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4" t="s">
        <v>26</v>
      </c>
      <c r="AJ10" s="245"/>
      <c r="AK10" s="245"/>
      <c r="AL10" s="245"/>
      <c r="AM10" s="249"/>
      <c r="AN10" s="250"/>
      <c r="AO10" s="250"/>
      <c r="AP10" s="250"/>
      <c r="AQ10" s="245"/>
      <c r="AR10" s="30"/>
      <c r="AS10" s="251" t="s">
        <v>51</v>
      </c>
      <c r="AT10" s="252"/>
      <c r="AU10" s="53"/>
      <c r="AV10" s="53"/>
      <c r="AW10" s="53"/>
      <c r="AX10" s="53"/>
      <c r="AY10" s="53"/>
      <c r="AZ10" s="53"/>
      <c r="BA10" s="53"/>
      <c r="BB10" s="53"/>
      <c r="BC10" s="53"/>
      <c r="BD10" s="54"/>
      <c r="BE10" s="245"/>
    </row>
    <row r="11" spans="1:91" s="2" customFormat="1" ht="15.2" customHeight="1" x14ac:dyDescent="0.2">
      <c r="A11" s="245"/>
      <c r="B11" s="30"/>
      <c r="C11" s="244" t="s">
        <v>25</v>
      </c>
      <c r="D11" s="245"/>
      <c r="E11" s="245"/>
      <c r="F11" s="245"/>
      <c r="G11" s="245"/>
      <c r="H11" s="245"/>
      <c r="I11" s="245"/>
      <c r="J11" s="245"/>
      <c r="K11" s="245"/>
      <c r="L11" s="243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4" t="s">
        <v>29</v>
      </c>
      <c r="AJ11" s="245"/>
      <c r="AK11" s="245"/>
      <c r="AL11" s="245"/>
      <c r="AM11" s="249"/>
      <c r="AN11" s="250"/>
      <c r="AO11" s="250"/>
      <c r="AP11" s="250"/>
      <c r="AQ11" s="245"/>
      <c r="AR11" s="30"/>
      <c r="AS11" s="253"/>
      <c r="AT11" s="254"/>
      <c r="AU11" s="55"/>
      <c r="AV11" s="55"/>
      <c r="AW11" s="55"/>
      <c r="AX11" s="55"/>
      <c r="AY11" s="55"/>
      <c r="AZ11" s="55"/>
      <c r="BA11" s="55"/>
      <c r="BB11" s="55"/>
      <c r="BC11" s="55"/>
      <c r="BD11" s="56"/>
      <c r="BE11" s="245"/>
    </row>
    <row r="12" spans="1:91" s="2" customFormat="1" ht="10.9" customHeight="1" x14ac:dyDescent="0.2">
      <c r="A12" s="245"/>
      <c r="B12" s="30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30"/>
      <c r="AS12" s="253"/>
      <c r="AT12" s="254"/>
      <c r="AU12" s="55"/>
      <c r="AV12" s="55"/>
      <c r="AW12" s="55"/>
      <c r="AX12" s="55"/>
      <c r="AY12" s="55"/>
      <c r="AZ12" s="55"/>
      <c r="BA12" s="55"/>
      <c r="BB12" s="55"/>
      <c r="BC12" s="55"/>
      <c r="BD12" s="56"/>
      <c r="BE12" s="245"/>
    </row>
    <row r="13" spans="1:91" s="2" customFormat="1" ht="29.25" customHeight="1" x14ac:dyDescent="0.2">
      <c r="A13" s="245"/>
      <c r="B13" s="30"/>
      <c r="C13" s="255" t="s">
        <v>52</v>
      </c>
      <c r="D13" s="256"/>
      <c r="E13" s="256"/>
      <c r="F13" s="256"/>
      <c r="G13" s="256"/>
      <c r="H13" s="57"/>
      <c r="I13" s="257" t="s">
        <v>53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8" t="s">
        <v>54</v>
      </c>
      <c r="AH13" s="256"/>
      <c r="AI13" s="256"/>
      <c r="AJ13" s="256"/>
      <c r="AK13" s="256"/>
      <c r="AL13" s="256"/>
      <c r="AM13" s="256"/>
      <c r="AN13" s="257" t="s">
        <v>55</v>
      </c>
      <c r="AO13" s="256"/>
      <c r="AP13" s="259"/>
      <c r="AQ13" s="58" t="s">
        <v>56</v>
      </c>
      <c r="AR13" s="30"/>
      <c r="AS13" s="59" t="s">
        <v>57</v>
      </c>
      <c r="AT13" s="60" t="s">
        <v>58</v>
      </c>
      <c r="AU13" s="60" t="s">
        <v>59</v>
      </c>
      <c r="AV13" s="60" t="s">
        <v>60</v>
      </c>
      <c r="AW13" s="60" t="s">
        <v>61</v>
      </c>
      <c r="AX13" s="60" t="s">
        <v>62</v>
      </c>
      <c r="AY13" s="60" t="s">
        <v>63</v>
      </c>
      <c r="AZ13" s="60" t="s">
        <v>64</v>
      </c>
      <c r="BA13" s="60" t="s">
        <v>65</v>
      </c>
      <c r="BB13" s="60" t="s">
        <v>66</v>
      </c>
      <c r="BC13" s="60" t="s">
        <v>67</v>
      </c>
      <c r="BD13" s="61" t="s">
        <v>68</v>
      </c>
      <c r="BE13" s="245"/>
    </row>
    <row r="14" spans="1:91" s="2" customFormat="1" ht="10.9" customHeight="1" x14ac:dyDescent="0.2">
      <c r="A14" s="245"/>
      <c r="B14" s="30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30"/>
      <c r="AS14" s="62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4"/>
      <c r="BE14" s="245"/>
    </row>
    <row r="15" spans="1:91" s="6" customFormat="1" ht="32.450000000000003" customHeight="1" x14ac:dyDescent="0.2">
      <c r="B15" s="65"/>
      <c r="C15" s="66" t="s">
        <v>69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265"/>
      <c r="AH15" s="265"/>
      <c r="AI15" s="265"/>
      <c r="AJ15" s="265"/>
      <c r="AK15" s="265"/>
      <c r="AL15" s="265"/>
      <c r="AM15" s="265"/>
      <c r="AN15" s="266"/>
      <c r="AO15" s="266"/>
      <c r="AP15" s="266"/>
      <c r="AQ15" s="69" t="s">
        <v>1</v>
      </c>
      <c r="AR15" s="65"/>
      <c r="AS15" s="70">
        <f>ROUND(AS16,2)</f>
        <v>0</v>
      </c>
      <c r="AT15" s="71" t="e">
        <f>ROUND(SUM(AV15:AW15),2)</f>
        <v>#REF!</v>
      </c>
      <c r="AU15" s="72" t="e">
        <f>ROUND(AU16,5)</f>
        <v>#REF!</v>
      </c>
      <c r="AV15" s="71" t="e">
        <f>ROUND(AZ15*#REF!,2)</f>
        <v>#REF!</v>
      </c>
      <c r="AW15" s="71" t="e">
        <f>ROUND(BA15*#REF!,2)</f>
        <v>#REF!</v>
      </c>
      <c r="AX15" s="71" t="e">
        <f>ROUND(BB15*#REF!,2)</f>
        <v>#REF!</v>
      </c>
      <c r="AY15" s="71" t="e">
        <f>ROUND(BC15*#REF!,2)</f>
        <v>#REF!</v>
      </c>
      <c r="AZ15" s="71">
        <f>ROUND(AZ16,2)</f>
        <v>0</v>
      </c>
      <c r="BA15" s="71">
        <f>ROUND(BA16,2)</f>
        <v>0</v>
      </c>
      <c r="BB15" s="71">
        <f>ROUND(BB16,2)</f>
        <v>0</v>
      </c>
      <c r="BC15" s="71">
        <f>ROUND(BC16,2)</f>
        <v>0</v>
      </c>
      <c r="BD15" s="73">
        <f>ROUND(BD16,2)</f>
        <v>0</v>
      </c>
      <c r="BS15" s="74" t="s">
        <v>70</v>
      </c>
      <c r="BT15" s="74" t="s">
        <v>71</v>
      </c>
      <c r="BU15" s="75" t="s">
        <v>72</v>
      </c>
      <c r="BV15" s="74" t="s">
        <v>73</v>
      </c>
      <c r="BW15" s="74" t="s">
        <v>4</v>
      </c>
      <c r="BX15" s="74" t="s">
        <v>74</v>
      </c>
      <c r="CL15" s="74" t="s">
        <v>1</v>
      </c>
    </row>
    <row r="16" spans="1:91" s="7" customFormat="1" ht="16.5" customHeight="1" x14ac:dyDescent="0.2">
      <c r="A16" s="76" t="s">
        <v>75</v>
      </c>
      <c r="B16" s="77"/>
      <c r="C16" s="78"/>
      <c r="D16" s="260" t="s">
        <v>76</v>
      </c>
      <c r="E16" s="260"/>
      <c r="F16" s="260"/>
      <c r="G16" s="260"/>
      <c r="H16" s="260"/>
      <c r="I16" s="241"/>
      <c r="J16" s="260" t="s">
        <v>397</v>
      </c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3">
        <f>'Rekapitulace stavby_1byt'!AG94:AM94</f>
        <v>0</v>
      </c>
      <c r="AH16" s="264"/>
      <c r="AI16" s="264"/>
      <c r="AJ16" s="264"/>
      <c r="AK16" s="264"/>
      <c r="AL16" s="264"/>
      <c r="AM16" s="264"/>
      <c r="AN16" s="263"/>
      <c r="AO16" s="264"/>
      <c r="AP16" s="264"/>
      <c r="AQ16" s="80" t="s">
        <v>77</v>
      </c>
      <c r="AR16" s="77"/>
      <c r="AS16" s="81">
        <v>0</v>
      </c>
      <c r="AT16" s="82">
        <f>ROUND(SUM(AV16:AW16),2)</f>
        <v>0</v>
      </c>
      <c r="AU16" s="83" t="e">
        <f>Stavební!P129</f>
        <v>#REF!</v>
      </c>
      <c r="AV16" s="82">
        <f>Stavební!J34</f>
        <v>0</v>
      </c>
      <c r="AW16" s="82">
        <f>Stavební!J35</f>
        <v>0</v>
      </c>
      <c r="AX16" s="82">
        <f>Stavební!J36</f>
        <v>0</v>
      </c>
      <c r="AY16" s="82">
        <f>Stavební!J37</f>
        <v>0</v>
      </c>
      <c r="AZ16" s="82">
        <f>Stavební!F34</f>
        <v>0</v>
      </c>
      <c r="BA16" s="82">
        <f>Stavební!F35</f>
        <v>0</v>
      </c>
      <c r="BB16" s="82">
        <f>Stavební!F36</f>
        <v>0</v>
      </c>
      <c r="BC16" s="82">
        <f>Stavební!F37</f>
        <v>0</v>
      </c>
      <c r="BD16" s="84">
        <f>Stavební!F38</f>
        <v>0</v>
      </c>
      <c r="BT16" s="85" t="s">
        <v>78</v>
      </c>
      <c r="BV16" s="85" t="s">
        <v>73</v>
      </c>
      <c r="BW16" s="85" t="s">
        <v>79</v>
      </c>
      <c r="BX16" s="85" t="s">
        <v>4</v>
      </c>
      <c r="CL16" s="85" t="s">
        <v>1</v>
      </c>
      <c r="CM16" s="85" t="s">
        <v>80</v>
      </c>
    </row>
    <row r="17" spans="1:91" s="7" customFormat="1" ht="16.5" customHeight="1" x14ac:dyDescent="0.2">
      <c r="A17" s="76" t="s">
        <v>75</v>
      </c>
      <c r="B17" s="77"/>
      <c r="C17" s="78"/>
      <c r="D17" s="260" t="s">
        <v>395</v>
      </c>
      <c r="E17" s="260"/>
      <c r="F17" s="260"/>
      <c r="G17" s="260"/>
      <c r="H17" s="260"/>
      <c r="I17" s="241"/>
      <c r="J17" s="260" t="s">
        <v>398</v>
      </c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3">
        <f>'Rekapitulace stavby_1byt'!AG94:AM94</f>
        <v>0</v>
      </c>
      <c r="AH17" s="264"/>
      <c r="AI17" s="264"/>
      <c r="AJ17" s="264"/>
      <c r="AK17" s="264"/>
      <c r="AL17" s="264"/>
      <c r="AM17" s="264"/>
      <c r="AN17" s="263"/>
      <c r="AO17" s="264"/>
      <c r="AP17" s="264"/>
      <c r="AQ17" s="80" t="s">
        <v>77</v>
      </c>
      <c r="AR17" s="77"/>
      <c r="AS17" s="81">
        <v>0</v>
      </c>
      <c r="AT17" s="82">
        <f t="shared" ref="AT17:AT23" si="0">ROUND(SUM(AV17:AW17),2)</f>
        <v>0</v>
      </c>
      <c r="AU17" s="83">
        <f>Stavební!P130</f>
        <v>66.442306000000002</v>
      </c>
      <c r="AV17" s="82">
        <f>Stavební!J35</f>
        <v>0</v>
      </c>
      <c r="AW17" s="82">
        <f>Stavební!J36</f>
        <v>0</v>
      </c>
      <c r="AX17" s="82">
        <f>Stavební!J37</f>
        <v>0</v>
      </c>
      <c r="AY17" s="82">
        <f>Stavební!J38</f>
        <v>0</v>
      </c>
      <c r="AZ17" s="82">
        <f>Stavební!F35</f>
        <v>0</v>
      </c>
      <c r="BA17" s="82">
        <f>Stavební!F36</f>
        <v>0</v>
      </c>
      <c r="BB17" s="82">
        <f>Stavební!F37</f>
        <v>0</v>
      </c>
      <c r="BC17" s="82">
        <f>Stavební!F38</f>
        <v>0</v>
      </c>
      <c r="BD17" s="84">
        <f>Stavební!F39</f>
        <v>0</v>
      </c>
      <c r="BT17" s="85" t="s">
        <v>78</v>
      </c>
      <c r="BV17" s="85" t="s">
        <v>73</v>
      </c>
      <c r="BW17" s="85" t="s">
        <v>79</v>
      </c>
      <c r="BX17" s="85" t="s">
        <v>4</v>
      </c>
      <c r="CL17" s="85" t="s">
        <v>1</v>
      </c>
      <c r="CM17" s="85" t="s">
        <v>80</v>
      </c>
    </row>
    <row r="18" spans="1:91" s="7" customFormat="1" ht="16.5" customHeight="1" x14ac:dyDescent="0.2">
      <c r="A18" s="76" t="s">
        <v>75</v>
      </c>
      <c r="B18" s="77"/>
      <c r="C18" s="78"/>
      <c r="D18" s="260" t="s">
        <v>407</v>
      </c>
      <c r="E18" s="260"/>
      <c r="F18" s="260"/>
      <c r="G18" s="260"/>
      <c r="H18" s="260"/>
      <c r="I18" s="241"/>
      <c r="J18" s="260" t="s">
        <v>399</v>
      </c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3">
        <f>'Rekapitulace stavby_1byt'!AG94:AM94</f>
        <v>0</v>
      </c>
      <c r="AH18" s="264"/>
      <c r="AI18" s="264"/>
      <c r="AJ18" s="264"/>
      <c r="AK18" s="264"/>
      <c r="AL18" s="264"/>
      <c r="AM18" s="264"/>
      <c r="AN18" s="263"/>
      <c r="AO18" s="264"/>
      <c r="AP18" s="264"/>
      <c r="AQ18" s="80" t="s">
        <v>77</v>
      </c>
      <c r="AR18" s="77"/>
      <c r="AS18" s="81">
        <v>0</v>
      </c>
      <c r="AT18" s="82">
        <f t="shared" si="0"/>
        <v>0</v>
      </c>
      <c r="AU18" s="83">
        <f>Stavební!P131</f>
        <v>0</v>
      </c>
      <c r="AV18" s="82">
        <f>Stavební!J36</f>
        <v>0</v>
      </c>
      <c r="AW18" s="82">
        <f>Stavební!J37</f>
        <v>0</v>
      </c>
      <c r="AX18" s="82">
        <f>Stavební!J38</f>
        <v>0</v>
      </c>
      <c r="AY18" s="82">
        <f>Stavební!J39</f>
        <v>0</v>
      </c>
      <c r="AZ18" s="82">
        <f>Stavební!F36</f>
        <v>0</v>
      </c>
      <c r="BA18" s="82">
        <f>Stavební!F37</f>
        <v>0</v>
      </c>
      <c r="BB18" s="82">
        <f>Stavební!F38</f>
        <v>0</v>
      </c>
      <c r="BC18" s="82">
        <f>Stavební!F39</f>
        <v>0</v>
      </c>
      <c r="BD18" s="84">
        <f>Stavební!F40</f>
        <v>0</v>
      </c>
      <c r="BT18" s="85" t="s">
        <v>78</v>
      </c>
      <c r="BV18" s="85" t="s">
        <v>73</v>
      </c>
      <c r="BW18" s="85" t="s">
        <v>79</v>
      </c>
      <c r="BX18" s="85" t="s">
        <v>4</v>
      </c>
      <c r="CL18" s="85" t="s">
        <v>1</v>
      </c>
      <c r="CM18" s="85" t="s">
        <v>80</v>
      </c>
    </row>
    <row r="19" spans="1:91" s="7" customFormat="1" ht="16.5" customHeight="1" x14ac:dyDescent="0.2">
      <c r="A19" s="76" t="s">
        <v>75</v>
      </c>
      <c r="B19" s="77"/>
      <c r="C19" s="78"/>
      <c r="D19" s="260" t="s">
        <v>408</v>
      </c>
      <c r="E19" s="260"/>
      <c r="F19" s="260"/>
      <c r="G19" s="260"/>
      <c r="H19" s="260"/>
      <c r="I19" s="241"/>
      <c r="J19" s="260" t="s">
        <v>400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3">
        <f>'Rekapitulace stavby_1byt'!AG94:AM94</f>
        <v>0</v>
      </c>
      <c r="AH19" s="264"/>
      <c r="AI19" s="264"/>
      <c r="AJ19" s="264"/>
      <c r="AK19" s="264"/>
      <c r="AL19" s="264"/>
      <c r="AM19" s="264"/>
      <c r="AN19" s="263"/>
      <c r="AO19" s="264"/>
      <c r="AP19" s="264"/>
      <c r="AQ19" s="80" t="s">
        <v>77</v>
      </c>
      <c r="AR19" s="77"/>
      <c r="AS19" s="81">
        <v>0</v>
      </c>
      <c r="AT19" s="82">
        <f t="shared" si="0"/>
        <v>0</v>
      </c>
      <c r="AU19" s="83">
        <f>Stavební!P132</f>
        <v>0</v>
      </c>
      <c r="AV19" s="82">
        <f>Stavební!J37</f>
        <v>0</v>
      </c>
      <c r="AW19" s="82">
        <f>Stavební!J38</f>
        <v>0</v>
      </c>
      <c r="AX19" s="82">
        <f>Stavební!J39</f>
        <v>0</v>
      </c>
      <c r="AY19" s="82">
        <f>Stavební!J40</f>
        <v>0</v>
      </c>
      <c r="AZ19" s="82">
        <f>Stavební!F37</f>
        <v>0</v>
      </c>
      <c r="BA19" s="82">
        <f>Stavební!F38</f>
        <v>0</v>
      </c>
      <c r="BB19" s="82">
        <f>Stavební!F39</f>
        <v>0</v>
      </c>
      <c r="BC19" s="82">
        <f>Stavební!F40</f>
        <v>0</v>
      </c>
      <c r="BD19" s="84">
        <f>Stavební!F41</f>
        <v>0</v>
      </c>
      <c r="BT19" s="85" t="s">
        <v>78</v>
      </c>
      <c r="BV19" s="85" t="s">
        <v>73</v>
      </c>
      <c r="BW19" s="85" t="s">
        <v>79</v>
      </c>
      <c r="BX19" s="85" t="s">
        <v>4</v>
      </c>
      <c r="CL19" s="85" t="s">
        <v>1</v>
      </c>
      <c r="CM19" s="85" t="s">
        <v>80</v>
      </c>
    </row>
    <row r="20" spans="1:91" s="7" customFormat="1" ht="16.5" customHeight="1" x14ac:dyDescent="0.2">
      <c r="A20" s="76" t="s">
        <v>75</v>
      </c>
      <c r="B20" s="77"/>
      <c r="C20" s="78"/>
      <c r="D20" s="260" t="s">
        <v>409</v>
      </c>
      <c r="E20" s="260"/>
      <c r="F20" s="260"/>
      <c r="G20" s="260"/>
      <c r="H20" s="260"/>
      <c r="I20" s="241"/>
      <c r="J20" s="260" t="s">
        <v>401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3">
        <f>'Rekapitulace stavby_1byt'!AG94:AM94</f>
        <v>0</v>
      </c>
      <c r="AH20" s="264"/>
      <c r="AI20" s="264"/>
      <c r="AJ20" s="264"/>
      <c r="AK20" s="264"/>
      <c r="AL20" s="264"/>
      <c r="AM20" s="264"/>
      <c r="AN20" s="263"/>
      <c r="AO20" s="264"/>
      <c r="AP20" s="264"/>
      <c r="AQ20" s="80" t="s">
        <v>77</v>
      </c>
      <c r="AR20" s="77"/>
      <c r="AS20" s="81">
        <v>0</v>
      </c>
      <c r="AT20" s="82">
        <f t="shared" si="0"/>
        <v>0</v>
      </c>
      <c r="AU20" s="83">
        <f>Stavební!P133</f>
        <v>0</v>
      </c>
      <c r="AV20" s="82">
        <f>Stavební!J38</f>
        <v>0</v>
      </c>
      <c r="AW20" s="82">
        <f>Stavební!J39</f>
        <v>0</v>
      </c>
      <c r="AX20" s="82">
        <f>Stavební!J40</f>
        <v>0</v>
      </c>
      <c r="AY20" s="82">
        <f>Stavební!J41</f>
        <v>0</v>
      </c>
      <c r="AZ20" s="82">
        <f>Stavební!F38</f>
        <v>0</v>
      </c>
      <c r="BA20" s="82">
        <f>Stavební!F39</f>
        <v>0</v>
      </c>
      <c r="BB20" s="82">
        <f>Stavební!F40</f>
        <v>0</v>
      </c>
      <c r="BC20" s="82">
        <f>Stavební!F41</f>
        <v>0</v>
      </c>
      <c r="BD20" s="84">
        <f>Stavební!F42</f>
        <v>0</v>
      </c>
      <c r="BT20" s="85" t="s">
        <v>78</v>
      </c>
      <c r="BV20" s="85" t="s">
        <v>73</v>
      </c>
      <c r="BW20" s="85" t="s">
        <v>79</v>
      </c>
      <c r="BX20" s="85" t="s">
        <v>4</v>
      </c>
      <c r="CL20" s="85" t="s">
        <v>1</v>
      </c>
      <c r="CM20" s="85" t="s">
        <v>80</v>
      </c>
    </row>
    <row r="21" spans="1:91" s="7" customFormat="1" ht="16.5" customHeight="1" x14ac:dyDescent="0.2">
      <c r="A21" s="76" t="s">
        <v>75</v>
      </c>
      <c r="B21" s="77"/>
      <c r="C21" s="78"/>
      <c r="D21" s="260" t="s">
        <v>410</v>
      </c>
      <c r="E21" s="260"/>
      <c r="F21" s="260"/>
      <c r="G21" s="260"/>
      <c r="H21" s="260"/>
      <c r="I21" s="241"/>
      <c r="J21" s="260" t="s">
        <v>402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3">
        <f>'Rekapitulace stavby_1byt'!AG94:AM94</f>
        <v>0</v>
      </c>
      <c r="AH21" s="264"/>
      <c r="AI21" s="264"/>
      <c r="AJ21" s="264"/>
      <c r="AK21" s="264"/>
      <c r="AL21" s="264"/>
      <c r="AM21" s="264"/>
      <c r="AN21" s="263"/>
      <c r="AO21" s="264"/>
      <c r="AP21" s="264"/>
      <c r="AQ21" s="80" t="s">
        <v>77</v>
      </c>
      <c r="AR21" s="77"/>
      <c r="AS21" s="81">
        <v>0</v>
      </c>
      <c r="AT21" s="82">
        <f t="shared" si="0"/>
        <v>0</v>
      </c>
      <c r="AU21" s="83">
        <f>Stavební!P134</f>
        <v>20.261456000000003</v>
      </c>
      <c r="AV21" s="82">
        <f>Stavební!J39</f>
        <v>0</v>
      </c>
      <c r="AW21" s="82">
        <f>Stavební!J40</f>
        <v>0</v>
      </c>
      <c r="AX21" s="82">
        <f>Stavební!J41</f>
        <v>0</v>
      </c>
      <c r="AY21" s="82">
        <f>Stavební!J42</f>
        <v>0</v>
      </c>
      <c r="AZ21" s="82">
        <f>Stavební!F39</f>
        <v>0</v>
      </c>
      <c r="BA21" s="82">
        <f>Stavební!F40</f>
        <v>0</v>
      </c>
      <c r="BB21" s="82">
        <f>Stavební!F41</f>
        <v>0</v>
      </c>
      <c r="BC21" s="82">
        <f>Stavební!F42</f>
        <v>0</v>
      </c>
      <c r="BD21" s="84">
        <f>Stavební!F43</f>
        <v>0</v>
      </c>
      <c r="BT21" s="85" t="s">
        <v>78</v>
      </c>
      <c r="BV21" s="85" t="s">
        <v>73</v>
      </c>
      <c r="BW21" s="85" t="s">
        <v>79</v>
      </c>
      <c r="BX21" s="85" t="s">
        <v>4</v>
      </c>
      <c r="CL21" s="85" t="s">
        <v>1</v>
      </c>
      <c r="CM21" s="85" t="s">
        <v>80</v>
      </c>
    </row>
    <row r="22" spans="1:91" s="7" customFormat="1" ht="16.5" customHeight="1" x14ac:dyDescent="0.2">
      <c r="A22" s="76" t="s">
        <v>75</v>
      </c>
      <c r="B22" s="77"/>
      <c r="C22" s="78"/>
      <c r="D22" s="260" t="s">
        <v>411</v>
      </c>
      <c r="E22" s="260"/>
      <c r="F22" s="260"/>
      <c r="G22" s="260"/>
      <c r="H22" s="260"/>
      <c r="I22" s="241"/>
      <c r="J22" s="260" t="s">
        <v>403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3">
        <f>'Rekapitulace stavby_1byt'!AG94:AM94</f>
        <v>0</v>
      </c>
      <c r="AH22" s="264"/>
      <c r="AI22" s="264"/>
      <c r="AJ22" s="264"/>
      <c r="AK22" s="264"/>
      <c r="AL22" s="264"/>
      <c r="AM22" s="264"/>
      <c r="AN22" s="263"/>
      <c r="AO22" s="264"/>
      <c r="AP22" s="264"/>
      <c r="AQ22" s="80" t="s">
        <v>77</v>
      </c>
      <c r="AR22" s="77"/>
      <c r="AS22" s="81">
        <v>0</v>
      </c>
      <c r="AT22" s="82">
        <f t="shared" si="0"/>
        <v>0</v>
      </c>
      <c r="AU22" s="83">
        <f>Stavební!P135</f>
        <v>1.0739999999999998</v>
      </c>
      <c r="AV22" s="82">
        <f>Stavební!J40</f>
        <v>0</v>
      </c>
      <c r="AW22" s="82">
        <f>Stavební!J41</f>
        <v>0</v>
      </c>
      <c r="AX22" s="82">
        <f>Stavební!J42</f>
        <v>0</v>
      </c>
      <c r="AY22" s="82">
        <f>Stavební!J43</f>
        <v>0</v>
      </c>
      <c r="AZ22" s="82">
        <f>Stavební!F40</f>
        <v>0</v>
      </c>
      <c r="BA22" s="82">
        <f>Stavební!F41</f>
        <v>0</v>
      </c>
      <c r="BB22" s="82">
        <f>Stavební!F42</f>
        <v>0</v>
      </c>
      <c r="BC22" s="82">
        <f>Stavební!F43</f>
        <v>0</v>
      </c>
      <c r="BD22" s="84">
        <f>Stavební!F44</f>
        <v>0</v>
      </c>
      <c r="BT22" s="85" t="s">
        <v>78</v>
      </c>
      <c r="BV22" s="85" t="s">
        <v>73</v>
      </c>
      <c r="BW22" s="85" t="s">
        <v>79</v>
      </c>
      <c r="BX22" s="85" t="s">
        <v>4</v>
      </c>
      <c r="CL22" s="85" t="s">
        <v>1</v>
      </c>
      <c r="CM22" s="85" t="s">
        <v>80</v>
      </c>
    </row>
    <row r="23" spans="1:91" s="7" customFormat="1" ht="16.5" customHeight="1" x14ac:dyDescent="0.2">
      <c r="A23" s="76" t="s">
        <v>75</v>
      </c>
      <c r="B23" s="77"/>
      <c r="C23" s="78"/>
      <c r="D23" s="260" t="s">
        <v>412</v>
      </c>
      <c r="E23" s="260"/>
      <c r="F23" s="260"/>
      <c r="G23" s="260"/>
      <c r="H23" s="260"/>
      <c r="I23" s="241"/>
      <c r="J23" s="260" t="s">
        <v>404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3">
        <f>'Rekapitulace stavby_1byt'!AG94:AM94</f>
        <v>0</v>
      </c>
      <c r="AH23" s="264"/>
      <c r="AI23" s="264"/>
      <c r="AJ23" s="264"/>
      <c r="AK23" s="264"/>
      <c r="AL23" s="264"/>
      <c r="AM23" s="264"/>
      <c r="AN23" s="263"/>
      <c r="AO23" s="264"/>
      <c r="AP23" s="264"/>
      <c r="AQ23" s="80" t="s">
        <v>77</v>
      </c>
      <c r="AR23" s="77"/>
      <c r="AS23" s="81">
        <v>0</v>
      </c>
      <c r="AT23" s="82">
        <f t="shared" si="0"/>
        <v>0</v>
      </c>
      <c r="AU23" s="83">
        <f>Stavební!P136</f>
        <v>0</v>
      </c>
      <c r="AV23" s="82">
        <f>Stavební!J41</f>
        <v>0</v>
      </c>
      <c r="AW23" s="82">
        <f>Stavební!J42</f>
        <v>0</v>
      </c>
      <c r="AX23" s="82">
        <f>Stavební!J43</f>
        <v>0</v>
      </c>
      <c r="AY23" s="82">
        <f>Stavební!J44</f>
        <v>0</v>
      </c>
      <c r="AZ23" s="82">
        <f>Stavební!F41</f>
        <v>0</v>
      </c>
      <c r="BA23" s="82">
        <f>Stavební!F42</f>
        <v>0</v>
      </c>
      <c r="BB23" s="82">
        <f>Stavební!F43</f>
        <v>0</v>
      </c>
      <c r="BC23" s="82">
        <f>Stavební!F44</f>
        <v>0</v>
      </c>
      <c r="BD23" s="84">
        <f>Stavební!F45</f>
        <v>0</v>
      </c>
      <c r="BT23" s="85" t="s">
        <v>78</v>
      </c>
      <c r="BV23" s="85" t="s">
        <v>73</v>
      </c>
      <c r="BW23" s="85" t="s">
        <v>79</v>
      </c>
      <c r="BX23" s="85" t="s">
        <v>4</v>
      </c>
      <c r="CL23" s="85" t="s">
        <v>1</v>
      </c>
      <c r="CM23" s="85" t="s">
        <v>80</v>
      </c>
    </row>
    <row r="24" spans="1:91" s="7" customFormat="1" ht="16.5" customHeight="1" x14ac:dyDescent="0.2">
      <c r="A24" s="76"/>
      <c r="B24" s="77"/>
      <c r="C24" s="78"/>
      <c r="D24" s="239"/>
      <c r="E24" s="239"/>
      <c r="F24" s="239"/>
      <c r="G24" s="239"/>
      <c r="H24" s="239"/>
      <c r="I24" s="241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40"/>
      <c r="AH24" s="241"/>
      <c r="AI24" s="241"/>
      <c r="AJ24" s="241"/>
      <c r="AK24" s="241"/>
      <c r="AL24" s="241"/>
      <c r="AM24" s="241"/>
      <c r="AN24" s="240"/>
      <c r="AO24" s="241"/>
      <c r="AP24" s="241"/>
      <c r="AQ24" s="80"/>
      <c r="AR24" s="77"/>
      <c r="AS24" s="81"/>
      <c r="AT24" s="82"/>
      <c r="AU24" s="83"/>
      <c r="AV24" s="82"/>
      <c r="AW24" s="82"/>
      <c r="AX24" s="82"/>
      <c r="AY24" s="82"/>
      <c r="AZ24" s="82"/>
      <c r="BA24" s="82"/>
      <c r="BB24" s="82"/>
      <c r="BC24" s="82"/>
      <c r="BD24" s="84"/>
      <c r="BT24" s="85"/>
      <c r="BV24" s="85"/>
      <c r="BW24" s="85"/>
      <c r="BX24" s="85"/>
      <c r="CL24" s="85"/>
      <c r="CM24" s="85"/>
    </row>
    <row r="25" spans="1:91" s="7" customFormat="1" ht="16.5" customHeight="1" x14ac:dyDescent="0.2">
      <c r="A25" s="76" t="s">
        <v>75</v>
      </c>
      <c r="B25" s="77"/>
      <c r="C25" s="78"/>
      <c r="D25" s="260"/>
      <c r="E25" s="260"/>
      <c r="F25" s="260"/>
      <c r="G25" s="260"/>
      <c r="H25" s="260"/>
      <c r="I25" s="241"/>
      <c r="J25" s="260" t="s">
        <v>405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1">
        <f>SUM(AG16:AM23)</f>
        <v>0</v>
      </c>
      <c r="AH25" s="262"/>
      <c r="AI25" s="262"/>
      <c r="AJ25" s="262"/>
      <c r="AK25" s="262"/>
      <c r="AL25" s="262"/>
      <c r="AM25" s="262"/>
      <c r="AN25" s="263"/>
      <c r="AO25" s="264"/>
      <c r="AP25" s="264"/>
      <c r="AQ25" s="80" t="s">
        <v>77</v>
      </c>
      <c r="AR25" s="77"/>
      <c r="AS25" s="81">
        <v>0</v>
      </c>
      <c r="AT25" s="82">
        <f>ROUND(SUM(AV25:AW25),2)</f>
        <v>0</v>
      </c>
      <c r="AU25" s="83">
        <f>Stavební!P131</f>
        <v>0</v>
      </c>
      <c r="AV25" s="82">
        <f>Stavební!J36</f>
        <v>0</v>
      </c>
      <c r="AW25" s="82">
        <f>Stavební!J37</f>
        <v>0</v>
      </c>
      <c r="AX25" s="82">
        <f>Stavební!J38</f>
        <v>0</v>
      </c>
      <c r="AY25" s="82">
        <f>Stavební!J39</f>
        <v>0</v>
      </c>
      <c r="AZ25" s="82">
        <f>Stavební!F36</f>
        <v>0</v>
      </c>
      <c r="BA25" s="82">
        <f>Stavební!F37</f>
        <v>0</v>
      </c>
      <c r="BB25" s="82">
        <f>Stavební!F38</f>
        <v>0</v>
      </c>
      <c r="BC25" s="82">
        <f>Stavební!F39</f>
        <v>0</v>
      </c>
      <c r="BD25" s="84">
        <f>Stavební!F40</f>
        <v>0</v>
      </c>
      <c r="BT25" s="85" t="s">
        <v>78</v>
      </c>
      <c r="BV25" s="85" t="s">
        <v>73</v>
      </c>
      <c r="BW25" s="85" t="s">
        <v>79</v>
      </c>
      <c r="BX25" s="85" t="s">
        <v>4</v>
      </c>
      <c r="CL25" s="85" t="s">
        <v>1</v>
      </c>
      <c r="CM25" s="85" t="s">
        <v>80</v>
      </c>
    </row>
    <row r="26" spans="1:91" s="2" customFormat="1" ht="6.95" customHeight="1" x14ac:dyDescent="0.2">
      <c r="A26" s="245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30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</row>
  </sheetData>
  <mergeCells count="47">
    <mergeCell ref="D23:H23"/>
    <mergeCell ref="J23:AF23"/>
    <mergeCell ref="AG23:AM23"/>
    <mergeCell ref="AN23:AP23"/>
    <mergeCell ref="D21:H21"/>
    <mergeCell ref="J21:AF21"/>
    <mergeCell ref="AG21:AM21"/>
    <mergeCell ref="AN21:AP21"/>
    <mergeCell ref="D22:H22"/>
    <mergeCell ref="J22:AF22"/>
    <mergeCell ref="AG22:AM22"/>
    <mergeCell ref="AN22:AP22"/>
    <mergeCell ref="D19:H19"/>
    <mergeCell ref="J19:AF19"/>
    <mergeCell ref="AG19:AM19"/>
    <mergeCell ref="AN19:AP19"/>
    <mergeCell ref="D20:H20"/>
    <mergeCell ref="J20:AF20"/>
    <mergeCell ref="AG20:AM20"/>
    <mergeCell ref="AN20:AP20"/>
    <mergeCell ref="AG17:AM17"/>
    <mergeCell ref="AN17:AP17"/>
    <mergeCell ref="D18:H18"/>
    <mergeCell ref="J18:AF18"/>
    <mergeCell ref="AG18:AM18"/>
    <mergeCell ref="AN18:AP18"/>
    <mergeCell ref="C13:G13"/>
    <mergeCell ref="I13:AF13"/>
    <mergeCell ref="AG13:AM13"/>
    <mergeCell ref="AN13:AP13"/>
    <mergeCell ref="D25:H25"/>
    <mergeCell ref="J25:AF25"/>
    <mergeCell ref="AG25:AM25"/>
    <mergeCell ref="AN25:AP25"/>
    <mergeCell ref="AG15:AM15"/>
    <mergeCell ref="AN15:AP15"/>
    <mergeCell ref="D16:H16"/>
    <mergeCell ref="J16:AF16"/>
    <mergeCell ref="AG16:AM16"/>
    <mergeCell ref="AN16:AP16"/>
    <mergeCell ref="D17:H17"/>
    <mergeCell ref="J17:AF17"/>
    <mergeCell ref="L6:AO6"/>
    <mergeCell ref="AM8:AN8"/>
    <mergeCell ref="AM10:AP10"/>
    <mergeCell ref="AS10:AT12"/>
    <mergeCell ref="AM11:AP11"/>
  </mergeCells>
  <hyperlinks>
    <hyperlink ref="A16" location="'DOH074 - Bytova jednotka ...'!C2" display="/" xr:uid="{AA7ED67D-FBCF-4799-9787-25F69E881979}"/>
    <hyperlink ref="A25" location="'DOH074 - Bytova jednotka ...'!C2" display="/" xr:uid="{93F58577-A0FE-4F91-B8A8-C6CA17DC149F}"/>
    <hyperlink ref="A17" location="'DOH074 - Bytova jednotka ...'!C2" display="/" xr:uid="{BB13FA05-885D-4298-B64C-1FD34E3F73C3}"/>
    <hyperlink ref="A18" location="'DOH074 - Bytova jednotka ...'!C2" display="/" xr:uid="{989E2BE8-3BC7-4E15-9C1F-4BB9C025C463}"/>
    <hyperlink ref="A19" location="'DOH074 - Bytova jednotka ...'!C2" display="/" xr:uid="{3B0959DE-ACB0-4E30-BC80-5E970AD64C02}"/>
    <hyperlink ref="A20" location="'DOH074 - Bytova jednotka ...'!C2" display="/" xr:uid="{739B5A73-8A14-44C0-B2A7-8AA1032FF894}"/>
    <hyperlink ref="A21" location="'DOH074 - Bytova jednotka ...'!C2" display="/" xr:uid="{580B349F-101C-4036-872A-0B64DA55D6BF}"/>
    <hyperlink ref="A22" location="'DOH074 - Bytova jednotka ...'!C2" display="/" xr:uid="{F259EAC3-4400-4A77-84EF-2D55A0D1A1D8}"/>
    <hyperlink ref="A23" location="'DOH074 - Bytova jednotka ...'!C2" display="/" xr:uid="{BC8EC472-D416-4F9E-9C49-8F9400127ED5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AE18" sqref="AE1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 x14ac:dyDescent="0.2">
      <c r="AR2" s="267" t="s">
        <v>5</v>
      </c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 x14ac:dyDescent="0.2">
      <c r="B4" s="20"/>
      <c r="D4" s="21" t="s">
        <v>9</v>
      </c>
      <c r="AR4" s="20"/>
      <c r="AS4" s="22" t="s">
        <v>10</v>
      </c>
      <c r="BS4" s="17" t="s">
        <v>11</v>
      </c>
    </row>
    <row r="5" spans="1:74" s="1" customFormat="1" ht="12" customHeight="1" x14ac:dyDescent="0.2">
      <c r="B5" s="20"/>
      <c r="D5" s="23" t="s">
        <v>12</v>
      </c>
      <c r="K5" s="276" t="s">
        <v>13</v>
      </c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R5" s="20"/>
      <c r="BS5" s="17" t="s">
        <v>6</v>
      </c>
    </row>
    <row r="6" spans="1:74" s="1" customFormat="1" ht="36.950000000000003" customHeight="1" x14ac:dyDescent="0.2">
      <c r="B6" s="20"/>
      <c r="D6" s="25" t="s">
        <v>14</v>
      </c>
      <c r="K6" s="277" t="s">
        <v>15</v>
      </c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R6" s="20"/>
      <c r="BS6" s="17" t="s">
        <v>6</v>
      </c>
    </row>
    <row r="7" spans="1:74" s="1" customFormat="1" ht="12" customHeight="1" x14ac:dyDescent="0.2">
      <c r="B7" s="20"/>
      <c r="D7" s="26" t="s">
        <v>16</v>
      </c>
      <c r="K7" s="24" t="s">
        <v>1</v>
      </c>
      <c r="AK7" s="26" t="s">
        <v>17</v>
      </c>
      <c r="AN7" s="24" t="s">
        <v>1</v>
      </c>
      <c r="AR7" s="20"/>
      <c r="BS7" s="17" t="s">
        <v>6</v>
      </c>
    </row>
    <row r="8" spans="1:74" s="1" customFormat="1" ht="12" customHeight="1" x14ac:dyDescent="0.2">
      <c r="B8" s="20"/>
      <c r="D8" s="26" t="s">
        <v>18</v>
      </c>
      <c r="K8" s="24" t="s">
        <v>19</v>
      </c>
      <c r="AK8" s="26" t="s">
        <v>20</v>
      </c>
      <c r="AN8" s="24"/>
      <c r="AR8" s="20"/>
      <c r="BS8" s="17" t="s">
        <v>6</v>
      </c>
    </row>
    <row r="9" spans="1:74" s="1" customFormat="1" ht="14.45" customHeight="1" x14ac:dyDescent="0.2">
      <c r="B9" s="20"/>
      <c r="AR9" s="20"/>
      <c r="BS9" s="17" t="s">
        <v>6</v>
      </c>
    </row>
    <row r="10" spans="1:74" s="1" customFormat="1" ht="12" customHeight="1" x14ac:dyDescent="0.2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s="1" customFormat="1" ht="18.399999999999999" customHeight="1" x14ac:dyDescent="0.2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s="1" customFormat="1" ht="6.95" customHeight="1" x14ac:dyDescent="0.2">
      <c r="B12" s="20"/>
      <c r="AR12" s="20"/>
      <c r="BS12" s="17" t="s">
        <v>6</v>
      </c>
    </row>
    <row r="13" spans="1:74" s="1" customFormat="1" ht="12" customHeight="1" x14ac:dyDescent="0.2">
      <c r="B13" s="20"/>
      <c r="D13" s="26" t="s">
        <v>25</v>
      </c>
      <c r="AK13" s="26" t="s">
        <v>22</v>
      </c>
      <c r="AN13" s="24"/>
      <c r="AR13" s="20"/>
      <c r="BS13" s="17" t="s">
        <v>6</v>
      </c>
    </row>
    <row r="14" spans="1:74" ht="12.75" x14ac:dyDescent="0.2">
      <c r="B14" s="20"/>
      <c r="E14" s="24"/>
      <c r="AK14" s="26" t="s">
        <v>24</v>
      </c>
      <c r="AN14" s="24"/>
      <c r="AR14" s="20"/>
      <c r="BS14" s="17" t="s">
        <v>6</v>
      </c>
    </row>
    <row r="15" spans="1:74" s="1" customFormat="1" ht="6.95" customHeight="1" x14ac:dyDescent="0.2">
      <c r="B15" s="20"/>
      <c r="AR15" s="20"/>
      <c r="BS15" s="17" t="s">
        <v>3</v>
      </c>
    </row>
    <row r="16" spans="1:74" s="1" customFormat="1" ht="12" customHeight="1" x14ac:dyDescent="0.2">
      <c r="B16" s="20"/>
      <c r="D16" s="26" t="s">
        <v>26</v>
      </c>
      <c r="AK16" s="26" t="s">
        <v>22</v>
      </c>
      <c r="AN16" s="24" t="s">
        <v>1</v>
      </c>
      <c r="AR16" s="20"/>
      <c r="BS16" s="17" t="s">
        <v>3</v>
      </c>
    </row>
    <row r="17" spans="1:71" s="1" customFormat="1" ht="18.399999999999999" customHeight="1" x14ac:dyDescent="0.2">
      <c r="B17" s="20"/>
      <c r="E17" s="24" t="s">
        <v>27</v>
      </c>
      <c r="AK17" s="26" t="s">
        <v>24</v>
      </c>
      <c r="AN17" s="24" t="s">
        <v>1</v>
      </c>
      <c r="AR17" s="20"/>
      <c r="BS17" s="17" t="s">
        <v>28</v>
      </c>
    </row>
    <row r="18" spans="1:71" s="1" customFormat="1" ht="6.95" customHeight="1" x14ac:dyDescent="0.2">
      <c r="B18" s="20"/>
      <c r="AR18" s="20"/>
      <c r="BS18" s="17" t="s">
        <v>6</v>
      </c>
    </row>
    <row r="19" spans="1:71" s="1" customFormat="1" ht="12" customHeight="1" x14ac:dyDescent="0.2">
      <c r="B19" s="20"/>
      <c r="D19" s="26" t="s">
        <v>29</v>
      </c>
      <c r="AK19" s="26" t="s">
        <v>22</v>
      </c>
      <c r="AN19" s="24" t="s">
        <v>1</v>
      </c>
      <c r="AR19" s="20"/>
      <c r="BS19" s="17" t="s">
        <v>6</v>
      </c>
    </row>
    <row r="20" spans="1:71" s="1" customFormat="1" ht="18.399999999999999" customHeight="1" x14ac:dyDescent="0.2">
      <c r="B20" s="20"/>
      <c r="E20" s="24" t="s">
        <v>27</v>
      </c>
      <c r="AK20" s="26" t="s">
        <v>24</v>
      </c>
      <c r="AN20" s="24" t="s">
        <v>1</v>
      </c>
      <c r="AR20" s="20"/>
      <c r="BS20" s="17" t="s">
        <v>28</v>
      </c>
    </row>
    <row r="21" spans="1:71" s="1" customFormat="1" ht="6.95" customHeight="1" x14ac:dyDescent="0.2">
      <c r="B21" s="20"/>
      <c r="AR21" s="20"/>
    </row>
    <row r="22" spans="1:71" s="1" customFormat="1" ht="12" customHeight="1" x14ac:dyDescent="0.2">
      <c r="B22" s="20"/>
      <c r="D22" s="26" t="s">
        <v>30</v>
      </c>
      <c r="AR22" s="20"/>
    </row>
    <row r="23" spans="1:71" s="1" customFormat="1" ht="16.5" customHeight="1" x14ac:dyDescent="0.2">
      <c r="B23" s="20"/>
      <c r="E23" s="278" t="s">
        <v>1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R23" s="20"/>
    </row>
    <row r="24" spans="1:71" s="1" customFormat="1" ht="6.95" customHeight="1" x14ac:dyDescent="0.2">
      <c r="B24" s="20"/>
      <c r="AR24" s="20"/>
    </row>
    <row r="25" spans="1:71" s="1" customFormat="1" ht="6.95" customHeight="1" x14ac:dyDescent="0.2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 x14ac:dyDescent="0.2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79">
        <f>ROUND(AG94,2)</f>
        <v>0</v>
      </c>
      <c r="AL26" s="280"/>
      <c r="AM26" s="280"/>
      <c r="AN26" s="280"/>
      <c r="AO26" s="280"/>
      <c r="AP26" s="29"/>
      <c r="AQ26" s="29"/>
      <c r="AR26" s="30"/>
      <c r="BE26" s="29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81" t="s">
        <v>32</v>
      </c>
      <c r="M28" s="281"/>
      <c r="N28" s="281"/>
      <c r="O28" s="281"/>
      <c r="P28" s="281"/>
      <c r="Q28" s="29"/>
      <c r="R28" s="29"/>
      <c r="S28" s="29"/>
      <c r="T28" s="29"/>
      <c r="U28" s="29"/>
      <c r="V28" s="29"/>
      <c r="W28" s="281" t="s">
        <v>33</v>
      </c>
      <c r="X28" s="281"/>
      <c r="Y28" s="281"/>
      <c r="Z28" s="281"/>
      <c r="AA28" s="281"/>
      <c r="AB28" s="281"/>
      <c r="AC28" s="281"/>
      <c r="AD28" s="281"/>
      <c r="AE28" s="281"/>
      <c r="AF28" s="29"/>
      <c r="AG28" s="29"/>
      <c r="AH28" s="29"/>
      <c r="AI28" s="29"/>
      <c r="AJ28" s="29"/>
      <c r="AK28" s="281" t="s">
        <v>34</v>
      </c>
      <c r="AL28" s="281"/>
      <c r="AM28" s="281"/>
      <c r="AN28" s="281"/>
      <c r="AO28" s="281"/>
      <c r="AP28" s="29"/>
      <c r="AQ28" s="29"/>
      <c r="AR28" s="30"/>
      <c r="BE28" s="29"/>
    </row>
    <row r="29" spans="1:71" s="3" customFormat="1" ht="14.45" customHeight="1" x14ac:dyDescent="0.2">
      <c r="B29" s="34"/>
      <c r="D29" s="26" t="s">
        <v>35</v>
      </c>
      <c r="F29" s="26" t="s">
        <v>36</v>
      </c>
      <c r="L29" s="271">
        <v>0.21</v>
      </c>
      <c r="M29" s="270"/>
      <c r="N29" s="270"/>
      <c r="O29" s="270"/>
      <c r="P29" s="270"/>
      <c r="W29" s="269">
        <f>ROUND(AZ94, 2)</f>
        <v>0</v>
      </c>
      <c r="X29" s="270"/>
      <c r="Y29" s="270"/>
      <c r="Z29" s="270"/>
      <c r="AA29" s="270"/>
      <c r="AB29" s="270"/>
      <c r="AC29" s="270"/>
      <c r="AD29" s="270"/>
      <c r="AE29" s="270"/>
      <c r="AK29" s="269">
        <f>ROUND(AV94, 2)</f>
        <v>0</v>
      </c>
      <c r="AL29" s="270"/>
      <c r="AM29" s="270"/>
      <c r="AN29" s="270"/>
      <c r="AO29" s="270"/>
      <c r="AR29" s="34"/>
    </row>
    <row r="30" spans="1:71" s="3" customFormat="1" ht="14.45" customHeight="1" x14ac:dyDescent="0.2">
      <c r="B30" s="34"/>
      <c r="F30" s="26" t="s">
        <v>37</v>
      </c>
      <c r="L30" s="271">
        <v>0.15</v>
      </c>
      <c r="M30" s="270"/>
      <c r="N30" s="270"/>
      <c r="O30" s="270"/>
      <c r="P30" s="270"/>
      <c r="W30" s="269">
        <f>ROUND(BA94, 2)</f>
        <v>0</v>
      </c>
      <c r="X30" s="270"/>
      <c r="Y30" s="270"/>
      <c r="Z30" s="270"/>
      <c r="AA30" s="270"/>
      <c r="AB30" s="270"/>
      <c r="AC30" s="270"/>
      <c r="AD30" s="270"/>
      <c r="AE30" s="270"/>
      <c r="AK30" s="269">
        <f>ROUND(AW94, 2)</f>
        <v>0</v>
      </c>
      <c r="AL30" s="270"/>
      <c r="AM30" s="270"/>
      <c r="AN30" s="270"/>
      <c r="AO30" s="270"/>
      <c r="AR30" s="34"/>
    </row>
    <row r="31" spans="1:71" s="3" customFormat="1" ht="14.45" hidden="1" customHeight="1" x14ac:dyDescent="0.2">
      <c r="B31" s="34"/>
      <c r="F31" s="26" t="s">
        <v>38</v>
      </c>
      <c r="L31" s="271">
        <v>0.21</v>
      </c>
      <c r="M31" s="270"/>
      <c r="N31" s="270"/>
      <c r="O31" s="270"/>
      <c r="P31" s="270"/>
      <c r="W31" s="269">
        <f>ROUND(BB94, 2)</f>
        <v>0</v>
      </c>
      <c r="X31" s="270"/>
      <c r="Y31" s="270"/>
      <c r="Z31" s="270"/>
      <c r="AA31" s="270"/>
      <c r="AB31" s="270"/>
      <c r="AC31" s="270"/>
      <c r="AD31" s="270"/>
      <c r="AE31" s="270"/>
      <c r="AK31" s="269">
        <v>0</v>
      </c>
      <c r="AL31" s="270"/>
      <c r="AM31" s="270"/>
      <c r="AN31" s="270"/>
      <c r="AO31" s="270"/>
      <c r="AR31" s="34"/>
    </row>
    <row r="32" spans="1:71" s="3" customFormat="1" ht="14.45" hidden="1" customHeight="1" x14ac:dyDescent="0.2">
      <c r="B32" s="34"/>
      <c r="F32" s="26" t="s">
        <v>39</v>
      </c>
      <c r="L32" s="271">
        <v>0.15</v>
      </c>
      <c r="M32" s="270"/>
      <c r="N32" s="270"/>
      <c r="O32" s="270"/>
      <c r="P32" s="270"/>
      <c r="W32" s="269">
        <f>ROUND(BC94, 2)</f>
        <v>0</v>
      </c>
      <c r="X32" s="270"/>
      <c r="Y32" s="270"/>
      <c r="Z32" s="270"/>
      <c r="AA32" s="270"/>
      <c r="AB32" s="270"/>
      <c r="AC32" s="270"/>
      <c r="AD32" s="270"/>
      <c r="AE32" s="270"/>
      <c r="AK32" s="269">
        <v>0</v>
      </c>
      <c r="AL32" s="270"/>
      <c r="AM32" s="270"/>
      <c r="AN32" s="270"/>
      <c r="AO32" s="270"/>
      <c r="AR32" s="34"/>
    </row>
    <row r="33" spans="1:57" s="3" customFormat="1" ht="14.45" hidden="1" customHeight="1" x14ac:dyDescent="0.2">
      <c r="B33" s="34"/>
      <c r="F33" s="26" t="s">
        <v>40</v>
      </c>
      <c r="L33" s="271">
        <v>0</v>
      </c>
      <c r="M33" s="270"/>
      <c r="N33" s="270"/>
      <c r="O33" s="270"/>
      <c r="P33" s="270"/>
      <c r="W33" s="269">
        <f>ROUND(BD94, 2)</f>
        <v>0</v>
      </c>
      <c r="X33" s="270"/>
      <c r="Y33" s="270"/>
      <c r="Z33" s="270"/>
      <c r="AA33" s="270"/>
      <c r="AB33" s="270"/>
      <c r="AC33" s="270"/>
      <c r="AD33" s="270"/>
      <c r="AE33" s="270"/>
      <c r="AK33" s="269">
        <v>0</v>
      </c>
      <c r="AL33" s="270"/>
      <c r="AM33" s="270"/>
      <c r="AN33" s="270"/>
      <c r="AO33" s="270"/>
      <c r="AR33" s="34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 x14ac:dyDescent="0.2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272" t="s">
        <v>43</v>
      </c>
      <c r="Y35" s="273"/>
      <c r="Z35" s="273"/>
      <c r="AA35" s="273"/>
      <c r="AB35" s="273"/>
      <c r="AC35" s="37"/>
      <c r="AD35" s="37"/>
      <c r="AE35" s="37"/>
      <c r="AF35" s="37"/>
      <c r="AG35" s="37"/>
      <c r="AH35" s="37"/>
      <c r="AI35" s="37"/>
      <c r="AJ35" s="37"/>
      <c r="AK35" s="274">
        <f>SUM(AK26:AK33)</f>
        <v>0</v>
      </c>
      <c r="AL35" s="273"/>
      <c r="AM35" s="273"/>
      <c r="AN35" s="273"/>
      <c r="AO35" s="275"/>
      <c r="AP35" s="35"/>
      <c r="AQ35" s="35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20"/>
      <c r="AR38" s="20"/>
    </row>
    <row r="39" spans="1:57" s="1" customFormat="1" ht="14.45" customHeight="1" x14ac:dyDescent="0.2">
      <c r="B39" s="20"/>
      <c r="AR39" s="20"/>
    </row>
    <row r="40" spans="1:57" s="1" customFormat="1" ht="14.45" customHeight="1" x14ac:dyDescent="0.2">
      <c r="B40" s="20"/>
      <c r="AR40" s="20"/>
    </row>
    <row r="41" spans="1:57" s="1" customFormat="1" ht="14.45" customHeight="1" x14ac:dyDescent="0.2">
      <c r="B41" s="20"/>
      <c r="AR41" s="20"/>
    </row>
    <row r="42" spans="1:57" s="1" customFormat="1" ht="14.45" customHeight="1" x14ac:dyDescent="0.2">
      <c r="B42" s="20"/>
      <c r="AR42" s="20"/>
    </row>
    <row r="43" spans="1:57" s="1" customFormat="1" ht="14.45" customHeight="1" x14ac:dyDescent="0.2">
      <c r="B43" s="20"/>
      <c r="AR43" s="20"/>
    </row>
    <row r="44" spans="1:57" s="1" customFormat="1" ht="14.45" customHeight="1" x14ac:dyDescent="0.2">
      <c r="B44" s="20"/>
      <c r="AR44" s="20"/>
    </row>
    <row r="45" spans="1:57" s="1" customFormat="1" ht="14.45" customHeight="1" x14ac:dyDescent="0.2">
      <c r="B45" s="20"/>
      <c r="AR45" s="20"/>
    </row>
    <row r="46" spans="1:57" s="1" customFormat="1" ht="14.45" customHeight="1" x14ac:dyDescent="0.2">
      <c r="B46" s="20"/>
      <c r="AR46" s="20"/>
    </row>
    <row r="47" spans="1:57" s="1" customFormat="1" ht="14.45" customHeight="1" x14ac:dyDescent="0.2">
      <c r="B47" s="20"/>
      <c r="AR47" s="20"/>
    </row>
    <row r="48" spans="1:57" s="1" customFormat="1" ht="14.45" customHeight="1" x14ac:dyDescent="0.2">
      <c r="B48" s="20"/>
      <c r="AR48" s="20"/>
    </row>
    <row r="49" spans="1:57" s="2" customFormat="1" ht="14.45" customHeight="1" x14ac:dyDescent="0.2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75" x14ac:dyDescent="0.2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2.75" x14ac:dyDescent="0.2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75" x14ac:dyDescent="0.2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 x14ac:dyDescent="0.2">
      <c r="A82" s="29"/>
      <c r="B82" s="30"/>
      <c r="C82" s="21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8"/>
      <c r="C84" s="26" t="s">
        <v>12</v>
      </c>
      <c r="L84" s="4" t="str">
        <f>K5</f>
        <v>0232022</v>
      </c>
      <c r="AR84" s="48"/>
    </row>
    <row r="85" spans="1:91" s="5" customFormat="1" ht="36.950000000000003" customHeight="1" x14ac:dyDescent="0.2">
      <c r="B85" s="49"/>
      <c r="C85" s="50" t="s">
        <v>14</v>
      </c>
      <c r="L85" s="246" t="str">
        <f>K6</f>
        <v>Oprava vzorové bytové jednotky budova YA</v>
      </c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R85" s="49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6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Olomouc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20</v>
      </c>
      <c r="AJ87" s="29"/>
      <c r="AK87" s="29"/>
      <c r="AL87" s="29"/>
      <c r="AM87" s="248"/>
      <c r="AN87" s="248"/>
      <c r="AO87" s="29"/>
      <c r="AP87" s="29"/>
      <c r="AQ87" s="29"/>
      <c r="AR87" s="30"/>
      <c r="BE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 x14ac:dyDescent="0.2">
      <c r="A89" s="29"/>
      <c r="B89" s="30"/>
      <c r="C89" s="26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FN Olomouc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26</v>
      </c>
      <c r="AJ89" s="29"/>
      <c r="AK89" s="29"/>
      <c r="AL89" s="29"/>
      <c r="AM89" s="249" t="str">
        <f>IF(E17="","",E17)</f>
        <v xml:space="preserve"> </v>
      </c>
      <c r="AN89" s="250"/>
      <c r="AO89" s="250"/>
      <c r="AP89" s="250"/>
      <c r="AQ89" s="29"/>
      <c r="AR89" s="30"/>
      <c r="AS89" s="251" t="s">
        <v>51</v>
      </c>
      <c r="AT89" s="25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 x14ac:dyDescent="0.2">
      <c r="A90" s="29"/>
      <c r="B90" s="30"/>
      <c r="C90" s="26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29</v>
      </c>
      <c r="AJ90" s="29"/>
      <c r="AK90" s="29"/>
      <c r="AL90" s="29"/>
      <c r="AM90" s="249" t="str">
        <f>IF(E20="","",E20)</f>
        <v xml:space="preserve"> </v>
      </c>
      <c r="AN90" s="250"/>
      <c r="AO90" s="250"/>
      <c r="AP90" s="250"/>
      <c r="AQ90" s="29"/>
      <c r="AR90" s="30"/>
      <c r="AS90" s="253"/>
      <c r="AT90" s="25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53"/>
      <c r="AT91" s="25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 x14ac:dyDescent="0.2">
      <c r="A92" s="29"/>
      <c r="B92" s="30"/>
      <c r="C92" s="255" t="s">
        <v>52</v>
      </c>
      <c r="D92" s="256"/>
      <c r="E92" s="256"/>
      <c r="F92" s="256"/>
      <c r="G92" s="256"/>
      <c r="H92" s="57"/>
      <c r="I92" s="257" t="s">
        <v>53</v>
      </c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8" t="s">
        <v>54</v>
      </c>
      <c r="AH92" s="256"/>
      <c r="AI92" s="256"/>
      <c r="AJ92" s="256"/>
      <c r="AK92" s="256"/>
      <c r="AL92" s="256"/>
      <c r="AM92" s="256"/>
      <c r="AN92" s="257" t="s">
        <v>55</v>
      </c>
      <c r="AO92" s="256"/>
      <c r="AP92" s="259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 x14ac:dyDescent="0.2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65">
        <f>AG95+AG96</f>
        <v>0</v>
      </c>
      <c r="AH94" s="265"/>
      <c r="AI94" s="265"/>
      <c r="AJ94" s="265"/>
      <c r="AK94" s="265"/>
      <c r="AL94" s="265"/>
      <c r="AM94" s="265"/>
      <c r="AN94" s="266"/>
      <c r="AO94" s="266"/>
      <c r="AP94" s="266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 t="e">
        <f>ROUND(AU95,5)</f>
        <v>#REF!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 x14ac:dyDescent="0.2">
      <c r="A95" s="76" t="s">
        <v>75</v>
      </c>
      <c r="B95" s="77"/>
      <c r="C95" s="78"/>
      <c r="D95" s="260" t="s">
        <v>76</v>
      </c>
      <c r="E95" s="260"/>
      <c r="F95" s="260"/>
      <c r="G95" s="260"/>
      <c r="H95" s="260"/>
      <c r="I95" s="79"/>
      <c r="J95" s="260" t="s">
        <v>394</v>
      </c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3">
        <f>Stavební!J31</f>
        <v>0</v>
      </c>
      <c r="AH95" s="264"/>
      <c r="AI95" s="264"/>
      <c r="AJ95" s="264"/>
      <c r="AK95" s="264"/>
      <c r="AL95" s="264"/>
      <c r="AM95" s="264"/>
      <c r="AN95" s="263"/>
      <c r="AO95" s="264"/>
      <c r="AP95" s="264"/>
      <c r="AQ95" s="80" t="s">
        <v>77</v>
      </c>
      <c r="AR95" s="77"/>
      <c r="AS95" s="81">
        <v>0</v>
      </c>
      <c r="AT95" s="82">
        <f>ROUND(SUM(AV95:AW95),2)</f>
        <v>0</v>
      </c>
      <c r="AU95" s="83" t="e">
        <f>Stavební!P129</f>
        <v>#REF!</v>
      </c>
      <c r="AV95" s="82">
        <f>Stavební!J34</f>
        <v>0</v>
      </c>
      <c r="AW95" s="82">
        <f>Stavební!J35</f>
        <v>0</v>
      </c>
      <c r="AX95" s="82">
        <f>Stavební!J36</f>
        <v>0</v>
      </c>
      <c r="AY95" s="82">
        <f>Stavební!J37</f>
        <v>0</v>
      </c>
      <c r="AZ95" s="82">
        <f>Stavební!F34</f>
        <v>0</v>
      </c>
      <c r="BA95" s="82">
        <f>Stavební!F35</f>
        <v>0</v>
      </c>
      <c r="BB95" s="82">
        <f>Stavební!F36</f>
        <v>0</v>
      </c>
      <c r="BC95" s="82">
        <f>Stavební!F37</f>
        <v>0</v>
      </c>
      <c r="BD95" s="84">
        <f>Stavební!F38</f>
        <v>0</v>
      </c>
      <c r="BT95" s="85" t="s">
        <v>78</v>
      </c>
      <c r="BV95" s="85" t="s">
        <v>73</v>
      </c>
      <c r="BW95" s="85" t="s">
        <v>79</v>
      </c>
      <c r="BX95" s="85" t="s">
        <v>4</v>
      </c>
      <c r="CL95" s="85" t="s">
        <v>1</v>
      </c>
      <c r="CM95" s="85" t="s">
        <v>80</v>
      </c>
    </row>
    <row r="96" spans="1:91" s="7" customFormat="1" ht="16.5" customHeight="1" x14ac:dyDescent="0.2">
      <c r="A96" s="76" t="s">
        <v>75</v>
      </c>
      <c r="B96" s="77"/>
      <c r="C96" s="78"/>
      <c r="D96" s="260" t="s">
        <v>395</v>
      </c>
      <c r="E96" s="260"/>
      <c r="F96" s="260"/>
      <c r="G96" s="260"/>
      <c r="H96" s="260"/>
      <c r="I96" s="196"/>
      <c r="J96" s="260" t="s">
        <v>396</v>
      </c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3">
        <f>ZTI!I57</f>
        <v>0</v>
      </c>
      <c r="AH96" s="264"/>
      <c r="AI96" s="264"/>
      <c r="AJ96" s="264"/>
      <c r="AK96" s="264"/>
      <c r="AL96" s="264"/>
      <c r="AM96" s="264"/>
      <c r="AN96" s="263"/>
      <c r="AO96" s="264"/>
      <c r="AP96" s="264"/>
      <c r="AQ96" s="80" t="s">
        <v>77</v>
      </c>
      <c r="AR96" s="77"/>
      <c r="AS96" s="81">
        <v>0</v>
      </c>
      <c r="AT96" s="82">
        <f>ROUND(SUM(AV96:AW96),2)</f>
        <v>0</v>
      </c>
      <c r="AU96" s="83">
        <f>Stavební!P130</f>
        <v>66.442306000000002</v>
      </c>
      <c r="AV96" s="82">
        <f>Stavební!J35</f>
        <v>0</v>
      </c>
      <c r="AW96" s="82">
        <f>Stavební!J36</f>
        <v>0</v>
      </c>
      <c r="AX96" s="82">
        <f>Stavební!J37</f>
        <v>0</v>
      </c>
      <c r="AY96" s="82">
        <f>Stavební!J38</f>
        <v>0</v>
      </c>
      <c r="AZ96" s="82">
        <f>Stavební!F35</f>
        <v>0</v>
      </c>
      <c r="BA96" s="82">
        <f>Stavební!F36</f>
        <v>0</v>
      </c>
      <c r="BB96" s="82">
        <f>Stavební!F37</f>
        <v>0</v>
      </c>
      <c r="BC96" s="82">
        <f>Stavební!F38</f>
        <v>0</v>
      </c>
      <c r="BD96" s="84">
        <f>Stavební!F39</f>
        <v>0</v>
      </c>
      <c r="BT96" s="85" t="s">
        <v>78</v>
      </c>
      <c r="BV96" s="85" t="s">
        <v>73</v>
      </c>
      <c r="BW96" s="85" t="s">
        <v>79</v>
      </c>
      <c r="BX96" s="85" t="s">
        <v>4</v>
      </c>
      <c r="CL96" s="85" t="s">
        <v>1</v>
      </c>
      <c r="CM96" s="85" t="s">
        <v>80</v>
      </c>
    </row>
    <row r="97" spans="1:57" s="2" customFormat="1" ht="6.95" customHeight="1" x14ac:dyDescent="0.2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L33:P33"/>
    <mergeCell ref="X35:AB35"/>
    <mergeCell ref="AK35:AO35"/>
    <mergeCell ref="W31:AE31"/>
    <mergeCell ref="AN95:AP95"/>
    <mergeCell ref="AG95:AM95"/>
    <mergeCell ref="D96:H96"/>
    <mergeCell ref="J96:AF96"/>
    <mergeCell ref="AG96:AM96"/>
    <mergeCell ref="AN96:AP96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</mergeCells>
  <hyperlinks>
    <hyperlink ref="A95" location="'DOH074 - Bytova jednotka ...'!C2" display="/" xr:uid="{00000000-0004-0000-0000-000000000000}"/>
    <hyperlink ref="A96" location="'DOH074 - Bytova jednotka ...'!C2" display="/" xr:uid="{0A8C82DB-B188-46B5-B559-AAE573CCE0B5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36"/>
  <sheetViews>
    <sheetView showGridLines="0" workbookViewId="0">
      <selection activeCell="AC163" sqref="AC16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hidden="1" customWidth="1"/>
    <col min="24" max="24" width="12.33203125" style="1" hidden="1" customWidth="1"/>
    <col min="25" max="25" width="15" style="1" hidden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6"/>
    </row>
    <row r="2" spans="1:46" s="1" customFormat="1" ht="36.950000000000003" customHeight="1" x14ac:dyDescent="0.2">
      <c r="L2" s="267" t="s">
        <v>5</v>
      </c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7" t="s">
        <v>79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1:46" s="1" customFormat="1" ht="24.95" customHeight="1" x14ac:dyDescent="0.2">
      <c r="B4" s="20"/>
      <c r="D4" s="21" t="s">
        <v>81</v>
      </c>
      <c r="L4" s="20"/>
      <c r="M4" s="87" t="s">
        <v>10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14</v>
      </c>
      <c r="L6" s="20"/>
    </row>
    <row r="7" spans="1:46" s="1" customFormat="1" ht="16.5" customHeight="1" x14ac:dyDescent="0.2">
      <c r="B7" s="20"/>
      <c r="E7" s="282" t="str">
        <f>'Rekapitulace stavby_1byt'!K6</f>
        <v>Oprava vzorové bytové jednotky budova YA</v>
      </c>
      <c r="F7" s="283"/>
      <c r="G7" s="283"/>
      <c r="H7" s="283"/>
      <c r="L7" s="20"/>
    </row>
    <row r="8" spans="1:46" s="2" customFormat="1" ht="12" customHeight="1" x14ac:dyDescent="0.2">
      <c r="A8" s="29"/>
      <c r="B8" s="30"/>
      <c r="C8" s="29"/>
      <c r="D8" s="26" t="s">
        <v>82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46" t="s">
        <v>83</v>
      </c>
      <c r="F9" s="284"/>
      <c r="G9" s="284"/>
      <c r="H9" s="284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16</v>
      </c>
      <c r="E11" s="29"/>
      <c r="F11" s="24" t="s">
        <v>1</v>
      </c>
      <c r="G11" s="29"/>
      <c r="H11" s="29"/>
      <c r="I11" s="26" t="s">
        <v>17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18</v>
      </c>
      <c r="E12" s="29"/>
      <c r="F12" s="24" t="s">
        <v>19</v>
      </c>
      <c r="G12" s="29"/>
      <c r="H12" s="29"/>
      <c r="I12" s="26" t="s">
        <v>20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">
        <v>23</v>
      </c>
      <c r="F15" s="29"/>
      <c r="G15" s="29"/>
      <c r="H15" s="29"/>
      <c r="I15" s="26" t="s">
        <v>24</v>
      </c>
      <c r="J15" s="24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22</v>
      </c>
      <c r="J17" s="24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4"/>
      <c r="F18" s="29"/>
      <c r="G18" s="29"/>
      <c r="H18" s="29"/>
      <c r="I18" s="26" t="s">
        <v>24</v>
      </c>
      <c r="J18" s="24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22</v>
      </c>
      <c r="J20" s="24" t="str">
        <f>IF('Rekapitulace stavby_1byt'!AN16="","",'Rekapitulace stavby_1byt'!AN16)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IF('Rekapitulace stavby_1byt'!E17="","",'Rekapitulace stavby_1byt'!E17)</f>
        <v xml:space="preserve"> </v>
      </c>
      <c r="F21" s="29"/>
      <c r="G21" s="29"/>
      <c r="H21" s="29"/>
      <c r="I21" s="26" t="s">
        <v>24</v>
      </c>
      <c r="J21" s="24" t="str">
        <f>IF('Rekapitulace stavby_1byt'!AN17="","",'Rekapitulace stavby_1byt'!AN17)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29</v>
      </c>
      <c r="E23" s="29"/>
      <c r="F23" s="29"/>
      <c r="G23" s="29"/>
      <c r="H23" s="29"/>
      <c r="I23" s="26" t="s">
        <v>22</v>
      </c>
      <c r="J23" s="24" t="str">
        <f>IF('Rekapitulace stavby_1byt'!AN19="","",'Rekapitulace stavby_1byt'!AN19)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IF('Rekapitulace stavby_1byt'!E20="","",'Rekapitulace stavby_1byt'!E20)</f>
        <v xml:space="preserve"> </v>
      </c>
      <c r="F24" s="29"/>
      <c r="G24" s="29"/>
      <c r="H24" s="29"/>
      <c r="I24" s="26" t="s">
        <v>24</v>
      </c>
      <c r="J24" s="24" t="str">
        <f>IF('Rekapitulace stavby_1byt'!AN20="","",'Rekapitulace stavby_1byt'!AN20)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88"/>
      <c r="B27" s="89"/>
      <c r="C27" s="88"/>
      <c r="D27" s="88"/>
      <c r="E27" s="278" t="s">
        <v>1</v>
      </c>
      <c r="F27" s="278"/>
      <c r="G27" s="278"/>
      <c r="H27" s="278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 x14ac:dyDescent="0.2">
      <c r="A30" s="29"/>
      <c r="B30" s="30"/>
      <c r="C30" s="29"/>
      <c r="D30" s="24" t="s">
        <v>84</v>
      </c>
      <c r="E30" s="29"/>
      <c r="F30" s="29"/>
      <c r="G30" s="29"/>
      <c r="H30" s="29"/>
      <c r="I30" s="29"/>
      <c r="J30" s="91">
        <f>J95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25.35" customHeight="1" x14ac:dyDescent="0.2">
      <c r="A31" s="29"/>
      <c r="B31" s="30"/>
      <c r="C31" s="29"/>
      <c r="D31" s="92" t="s">
        <v>31</v>
      </c>
      <c r="E31" s="29"/>
      <c r="F31" s="29"/>
      <c r="G31" s="29"/>
      <c r="H31" s="29"/>
      <c r="I31" s="29"/>
      <c r="J31" s="68">
        <f>J30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6.95" customHeight="1" x14ac:dyDescent="0.2">
      <c r="A32" s="29"/>
      <c r="B32" s="30"/>
      <c r="C32" s="29"/>
      <c r="D32" s="63"/>
      <c r="E32" s="63"/>
      <c r="F32" s="63"/>
      <c r="G32" s="63"/>
      <c r="H32" s="63"/>
      <c r="I32" s="63"/>
      <c r="J32" s="63"/>
      <c r="K32" s="63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29"/>
      <c r="E33" s="29"/>
      <c r="F33" s="33" t="s">
        <v>33</v>
      </c>
      <c r="G33" s="29"/>
      <c r="H33" s="29"/>
      <c r="I33" s="33" t="s">
        <v>32</v>
      </c>
      <c r="J33" s="33" t="s">
        <v>34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93" t="s">
        <v>35</v>
      </c>
      <c r="E34" s="26" t="s">
        <v>36</v>
      </c>
      <c r="F34" s="94">
        <f>ROUND((SUM(BE110:BE110) + SUM(BE129:BE235)),  2)</f>
        <v>0</v>
      </c>
      <c r="G34" s="29"/>
      <c r="H34" s="29"/>
      <c r="I34" s="95">
        <v>0.21</v>
      </c>
      <c r="J34" s="94">
        <f>ROUND(((SUM(BE110:BE110) + SUM(BE129:BE235))*I34),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29"/>
      <c r="E35" s="26" t="s">
        <v>37</v>
      </c>
      <c r="F35" s="94">
        <f>ROUND((SUM(BF110:BF110) + SUM(BF129:BF235)),  2)</f>
        <v>0</v>
      </c>
      <c r="G35" s="29"/>
      <c r="H35" s="29"/>
      <c r="I35" s="95">
        <v>0.15</v>
      </c>
      <c r="J35" s="94">
        <f>ROUND(((SUM(BF110:BF110) + SUM(BF129:BF235))*I35),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38</v>
      </c>
      <c r="F36" s="94">
        <f>ROUND((SUM(BG110:BG110) + SUM(BG129:BG235)),  2)</f>
        <v>0</v>
      </c>
      <c r="G36" s="29"/>
      <c r="H36" s="29"/>
      <c r="I36" s="95">
        <v>0.21</v>
      </c>
      <c r="J36" s="94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39</v>
      </c>
      <c r="F37" s="94">
        <f>ROUND((SUM(BH110:BH110) + SUM(BH129:BH235)),  2)</f>
        <v>0</v>
      </c>
      <c r="G37" s="29"/>
      <c r="H37" s="29"/>
      <c r="I37" s="95">
        <v>0.15</v>
      </c>
      <c r="J37" s="94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6" t="s">
        <v>40</v>
      </c>
      <c r="F38" s="94">
        <f>ROUND((SUM(BI110:BI110) + SUM(BI129:BI235)),  2)</f>
        <v>0</v>
      </c>
      <c r="G38" s="29"/>
      <c r="H38" s="29"/>
      <c r="I38" s="95">
        <v>0</v>
      </c>
      <c r="J38" s="94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6.95" customHeight="1" x14ac:dyDescent="0.2">
      <c r="A39" s="29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25.35" customHeight="1" x14ac:dyDescent="0.2">
      <c r="A40" s="29"/>
      <c r="B40" s="30"/>
      <c r="C40" s="96"/>
      <c r="D40" s="97" t="s">
        <v>41</v>
      </c>
      <c r="E40" s="57"/>
      <c r="F40" s="57"/>
      <c r="G40" s="98" t="s">
        <v>42</v>
      </c>
      <c r="H40" s="99" t="s">
        <v>43</v>
      </c>
      <c r="I40" s="57"/>
      <c r="J40" s="100">
        <f>SUM(J31:J38)</f>
        <v>0</v>
      </c>
      <c r="K40" s="101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customHeight="1" x14ac:dyDescent="0.2">
      <c r="A41" s="29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2" customFormat="1" ht="14.45" customHeight="1" x14ac:dyDescent="0.2">
      <c r="B49" s="39"/>
      <c r="D49" s="40" t="s">
        <v>44</v>
      </c>
      <c r="E49" s="41"/>
      <c r="F49" s="41"/>
      <c r="G49" s="40" t="s">
        <v>45</v>
      </c>
      <c r="H49" s="41"/>
      <c r="I49" s="41"/>
      <c r="J49" s="41"/>
      <c r="K49" s="41"/>
      <c r="L49" s="39"/>
    </row>
    <row r="50" spans="1:31" x14ac:dyDescent="0.2">
      <c r="B50" s="20"/>
      <c r="L50" s="20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s="2" customFormat="1" ht="12.75" x14ac:dyDescent="0.2">
      <c r="A60" s="29"/>
      <c r="B60" s="30"/>
      <c r="C60" s="29"/>
      <c r="D60" s="42" t="s">
        <v>46</v>
      </c>
      <c r="E60" s="32"/>
      <c r="F60" s="102" t="s">
        <v>47</v>
      </c>
      <c r="G60" s="42" t="s">
        <v>46</v>
      </c>
      <c r="H60" s="32"/>
      <c r="I60" s="32"/>
      <c r="J60" s="103" t="s">
        <v>47</v>
      </c>
      <c r="K60" s="32"/>
      <c r="L60" s="3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x14ac:dyDescent="0.2">
      <c r="B61" s="20"/>
      <c r="L61" s="20"/>
    </row>
    <row r="62" spans="1:31" x14ac:dyDescent="0.2">
      <c r="B62" s="20"/>
      <c r="L62" s="20"/>
    </row>
    <row r="63" spans="1:31" x14ac:dyDescent="0.2">
      <c r="B63" s="20"/>
      <c r="L63" s="20"/>
    </row>
    <row r="64" spans="1:31" s="2" customFormat="1" ht="12.75" x14ac:dyDescent="0.2">
      <c r="A64" s="29"/>
      <c r="B64" s="30"/>
      <c r="C64" s="29"/>
      <c r="D64" s="40" t="s">
        <v>48</v>
      </c>
      <c r="E64" s="43"/>
      <c r="F64" s="43"/>
      <c r="G64" s="40" t="s">
        <v>49</v>
      </c>
      <c r="H64" s="43"/>
      <c r="I64" s="43"/>
      <c r="J64" s="43"/>
      <c r="K64" s="43"/>
      <c r="L64" s="3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x14ac:dyDescent="0.2">
      <c r="B65" s="20"/>
      <c r="L65" s="20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s="2" customFormat="1" ht="12.75" x14ac:dyDescent="0.2">
      <c r="A75" s="29"/>
      <c r="B75" s="30"/>
      <c r="C75" s="29"/>
      <c r="D75" s="42" t="s">
        <v>46</v>
      </c>
      <c r="E75" s="32"/>
      <c r="F75" s="102" t="s">
        <v>47</v>
      </c>
      <c r="G75" s="42" t="s">
        <v>46</v>
      </c>
      <c r="H75" s="32"/>
      <c r="I75" s="32"/>
      <c r="J75" s="103" t="s">
        <v>47</v>
      </c>
      <c r="K75" s="32"/>
      <c r="L75" s="3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14.45" customHeight="1" x14ac:dyDescent="0.2">
      <c r="A76" s="29"/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80" spans="1:31" s="2" customFormat="1" ht="6.95" customHeight="1" x14ac:dyDescent="0.2">
      <c r="A80" s="29"/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3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47" s="2" customFormat="1" ht="24.95" customHeight="1" x14ac:dyDescent="0.2">
      <c r="A81" s="29"/>
      <c r="B81" s="30"/>
      <c r="C81" s="21" t="s">
        <v>85</v>
      </c>
      <c r="D81" s="29"/>
      <c r="E81" s="29"/>
      <c r="F81" s="29"/>
      <c r="G81" s="29"/>
      <c r="H81" s="29"/>
      <c r="I81" s="29"/>
      <c r="J81" s="29"/>
      <c r="K81" s="29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6.95" customHeight="1" x14ac:dyDescent="0.2">
      <c r="A82" s="29"/>
      <c r="B82" s="30"/>
      <c r="C82" s="29"/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12" customHeight="1" x14ac:dyDescent="0.2">
      <c r="A83" s="29"/>
      <c r="B83" s="30"/>
      <c r="C83" s="26" t="s">
        <v>14</v>
      </c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6.5" customHeight="1" x14ac:dyDescent="0.2">
      <c r="A84" s="29"/>
      <c r="B84" s="30"/>
      <c r="C84" s="29"/>
      <c r="D84" s="29"/>
      <c r="E84" s="282" t="str">
        <f>E7</f>
        <v>Oprava vzorové bytové jednotky budova YA</v>
      </c>
      <c r="F84" s="283"/>
      <c r="G84" s="283"/>
      <c r="H84" s="283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2" customHeight="1" x14ac:dyDescent="0.2">
      <c r="A85" s="29"/>
      <c r="B85" s="30"/>
      <c r="C85" s="26" t="s">
        <v>82</v>
      </c>
      <c r="D85" s="29"/>
      <c r="E85" s="29"/>
      <c r="F85" s="29"/>
      <c r="G85" s="29"/>
      <c r="H85" s="2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6.5" customHeight="1" x14ac:dyDescent="0.2">
      <c r="A86" s="29"/>
      <c r="B86" s="30"/>
      <c r="C86" s="29"/>
      <c r="D86" s="29"/>
      <c r="E86" s="246" t="str">
        <f>E9</f>
        <v>DOH074 - Bytova jednotka budova YA</v>
      </c>
      <c r="F86" s="284"/>
      <c r="G86" s="284"/>
      <c r="H86" s="284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6.95" customHeight="1" x14ac:dyDescent="0.2">
      <c r="A87" s="29"/>
      <c r="B87" s="30"/>
      <c r="C87" s="29"/>
      <c r="D87" s="29"/>
      <c r="E87" s="29"/>
      <c r="F87" s="29"/>
      <c r="G87" s="29"/>
      <c r="H87" s="29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12" customHeight="1" x14ac:dyDescent="0.2">
      <c r="A88" s="29"/>
      <c r="B88" s="30"/>
      <c r="C88" s="26" t="s">
        <v>18</v>
      </c>
      <c r="D88" s="29"/>
      <c r="E88" s="29"/>
      <c r="F88" s="24" t="str">
        <f>F12</f>
        <v>Olomouc</v>
      </c>
      <c r="G88" s="29"/>
      <c r="H88" s="29"/>
      <c r="I88" s="26" t="s">
        <v>20</v>
      </c>
      <c r="J88" s="52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6.95" customHeight="1" x14ac:dyDescent="0.2">
      <c r="A89" s="29"/>
      <c r="B89" s="30"/>
      <c r="C89" s="29"/>
      <c r="D89" s="29"/>
      <c r="E89" s="29"/>
      <c r="F89" s="29"/>
      <c r="G89" s="29"/>
      <c r="H89" s="29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 x14ac:dyDescent="0.2">
      <c r="A90" s="29"/>
      <c r="B90" s="30"/>
      <c r="C90" s="26" t="s">
        <v>21</v>
      </c>
      <c r="D90" s="29"/>
      <c r="E90" s="29"/>
      <c r="F90" s="24" t="str">
        <f>E15</f>
        <v>FN Olomouc</v>
      </c>
      <c r="G90" s="29"/>
      <c r="H90" s="29"/>
      <c r="I90" s="26" t="s">
        <v>26</v>
      </c>
      <c r="J90" s="27" t="str">
        <f>E21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25</v>
      </c>
      <c r="D91" s="29"/>
      <c r="E91" s="29"/>
      <c r="F91" s="24"/>
      <c r="G91" s="29"/>
      <c r="H91" s="29"/>
      <c r="I91" s="26" t="s">
        <v>29</v>
      </c>
      <c r="J91" s="27" t="str">
        <f>E24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0.3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29.25" customHeight="1" x14ac:dyDescent="0.2">
      <c r="A93" s="29"/>
      <c r="B93" s="30"/>
      <c r="C93" s="104" t="s">
        <v>86</v>
      </c>
      <c r="D93" s="96"/>
      <c r="E93" s="96"/>
      <c r="F93" s="96"/>
      <c r="G93" s="96"/>
      <c r="H93" s="96"/>
      <c r="I93" s="96"/>
      <c r="J93" s="105" t="s">
        <v>87</v>
      </c>
      <c r="K93" s="96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10.35" customHeight="1" x14ac:dyDescent="0.2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22.9" customHeight="1" x14ac:dyDescent="0.2">
      <c r="A95" s="29"/>
      <c r="B95" s="30"/>
      <c r="C95" s="106" t="s">
        <v>88</v>
      </c>
      <c r="D95" s="29"/>
      <c r="E95" s="29"/>
      <c r="F95" s="29"/>
      <c r="G95" s="29"/>
      <c r="H95" s="29"/>
      <c r="I95" s="29"/>
      <c r="J95" s="68">
        <f>J129</f>
        <v>0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U95" s="17" t="s">
        <v>89</v>
      </c>
    </row>
    <row r="96" spans="1:47" s="9" customFormat="1" ht="24.95" customHeight="1" x14ac:dyDescent="0.2">
      <c r="B96" s="107"/>
      <c r="D96" s="108" t="s">
        <v>90</v>
      </c>
      <c r="E96" s="109"/>
      <c r="F96" s="109"/>
      <c r="G96" s="109"/>
      <c r="H96" s="109"/>
      <c r="I96" s="109"/>
      <c r="J96" s="110">
        <f>J130</f>
        <v>0</v>
      </c>
      <c r="L96" s="107"/>
    </row>
    <row r="97" spans="1:31" s="10" customFormat="1" ht="19.899999999999999" customHeight="1" x14ac:dyDescent="0.2">
      <c r="B97" s="111"/>
      <c r="D97" s="112" t="s">
        <v>91</v>
      </c>
      <c r="E97" s="113"/>
      <c r="F97" s="113"/>
      <c r="G97" s="113"/>
      <c r="H97" s="113"/>
      <c r="I97" s="113"/>
      <c r="J97" s="114">
        <f>J131</f>
        <v>0</v>
      </c>
      <c r="L97" s="111"/>
    </row>
    <row r="98" spans="1:31" s="10" customFormat="1" ht="19.899999999999999" customHeight="1" x14ac:dyDescent="0.2">
      <c r="B98" s="111"/>
      <c r="D98" s="112" t="s">
        <v>92</v>
      </c>
      <c r="E98" s="113"/>
      <c r="F98" s="113"/>
      <c r="G98" s="113"/>
      <c r="H98" s="113"/>
      <c r="I98" s="113"/>
      <c r="J98" s="114">
        <f>J134</f>
        <v>0</v>
      </c>
      <c r="L98" s="111"/>
    </row>
    <row r="99" spans="1:31" s="10" customFormat="1" ht="19.899999999999999" customHeight="1" x14ac:dyDescent="0.2">
      <c r="B99" s="111"/>
      <c r="D99" s="112" t="s">
        <v>93</v>
      </c>
      <c r="E99" s="113"/>
      <c r="F99" s="113"/>
      <c r="G99" s="113"/>
      <c r="H99" s="113"/>
      <c r="I99" s="113"/>
      <c r="J99" s="114">
        <f>J155</f>
        <v>0</v>
      </c>
      <c r="L99" s="111"/>
    </row>
    <row r="100" spans="1:31" s="10" customFormat="1" ht="19.899999999999999" customHeight="1" x14ac:dyDescent="0.2">
      <c r="B100" s="111"/>
      <c r="D100" s="112" t="s">
        <v>94</v>
      </c>
      <c r="E100" s="113"/>
      <c r="F100" s="113"/>
      <c r="G100" s="113"/>
      <c r="H100" s="113"/>
      <c r="I100" s="113"/>
      <c r="J100" s="114">
        <f>J178</f>
        <v>0</v>
      </c>
      <c r="L100" s="111"/>
    </row>
    <row r="101" spans="1:31" s="10" customFormat="1" ht="19.899999999999999" customHeight="1" x14ac:dyDescent="0.2">
      <c r="B101" s="111"/>
      <c r="D101" s="112" t="s">
        <v>95</v>
      </c>
      <c r="E101" s="113"/>
      <c r="F101" s="113"/>
      <c r="G101" s="113"/>
      <c r="H101" s="113"/>
      <c r="I101" s="113"/>
      <c r="J101" s="114">
        <f>J183</f>
        <v>0</v>
      </c>
      <c r="L101" s="111"/>
    </row>
    <row r="102" spans="1:31" s="9" customFormat="1" ht="24.95" customHeight="1" x14ac:dyDescent="0.2">
      <c r="B102" s="107"/>
      <c r="D102" s="108" t="s">
        <v>96</v>
      </c>
      <c r="E102" s="109"/>
      <c r="F102" s="109"/>
      <c r="G102" s="109"/>
      <c r="H102" s="109"/>
      <c r="I102" s="109"/>
      <c r="J102" s="110">
        <f>J186</f>
        <v>0</v>
      </c>
      <c r="L102" s="107"/>
    </row>
    <row r="103" spans="1:31" s="10" customFormat="1" ht="19.899999999999999" customHeight="1" x14ac:dyDescent="0.2">
      <c r="B103" s="111"/>
      <c r="D103" s="112" t="s">
        <v>97</v>
      </c>
      <c r="E103" s="113"/>
      <c r="F103" s="113"/>
      <c r="G103" s="113"/>
      <c r="H103" s="113"/>
      <c r="I103" s="113"/>
      <c r="J103" s="114">
        <f>J187</f>
        <v>0</v>
      </c>
      <c r="L103" s="111"/>
    </row>
    <row r="104" spans="1:31" s="10" customFormat="1" ht="19.899999999999999" customHeight="1" x14ac:dyDescent="0.2">
      <c r="B104" s="111"/>
      <c r="D104" s="112" t="s">
        <v>98</v>
      </c>
      <c r="E104" s="113"/>
      <c r="F104" s="113"/>
      <c r="G104" s="113"/>
      <c r="H104" s="113"/>
      <c r="I104" s="113"/>
      <c r="J104" s="114">
        <f>J195</f>
        <v>0</v>
      </c>
      <c r="L104" s="111"/>
    </row>
    <row r="105" spans="1:31" s="10" customFormat="1" ht="19.899999999999999" customHeight="1" x14ac:dyDescent="0.2">
      <c r="B105" s="111"/>
      <c r="D105" s="112" t="s">
        <v>99</v>
      </c>
      <c r="E105" s="113"/>
      <c r="F105" s="113"/>
      <c r="G105" s="113"/>
      <c r="H105" s="113"/>
      <c r="I105" s="113"/>
      <c r="J105" s="114">
        <f>J202</f>
        <v>0</v>
      </c>
      <c r="L105" s="111"/>
    </row>
    <row r="106" spans="1:31" s="10" customFormat="1" ht="19.899999999999999" customHeight="1" x14ac:dyDescent="0.2">
      <c r="B106" s="111"/>
      <c r="D106" s="112" t="s">
        <v>100</v>
      </c>
      <c r="E106" s="113"/>
      <c r="F106" s="113"/>
      <c r="G106" s="113"/>
      <c r="H106" s="113"/>
      <c r="I106" s="113"/>
      <c r="J106" s="114">
        <f>J218</f>
        <v>0</v>
      </c>
      <c r="L106" s="111"/>
    </row>
    <row r="107" spans="1:31" s="9" customFormat="1" ht="24.95" customHeight="1" x14ac:dyDescent="0.2">
      <c r="B107" s="107"/>
      <c r="D107" s="108" t="s">
        <v>101</v>
      </c>
      <c r="E107" s="109"/>
      <c r="F107" s="109"/>
      <c r="G107" s="109"/>
      <c r="H107" s="109"/>
      <c r="I107" s="109"/>
      <c r="J107" s="110">
        <f>J229</f>
        <v>0</v>
      </c>
      <c r="L107" s="107"/>
    </row>
    <row r="108" spans="1:31" s="2" customFormat="1" ht="21.7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 x14ac:dyDescent="0.2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8" customHeight="1" x14ac:dyDescent="0.2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 x14ac:dyDescent="0.2">
      <c r="A115" s="29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 x14ac:dyDescent="0.2">
      <c r="A116" s="29"/>
      <c r="B116" s="30"/>
      <c r="C116" s="21" t="s">
        <v>102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 x14ac:dyDescent="0.2">
      <c r="A118" s="29"/>
      <c r="B118" s="30"/>
      <c r="C118" s="26" t="s">
        <v>14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 x14ac:dyDescent="0.2">
      <c r="A119" s="29"/>
      <c r="B119" s="30"/>
      <c r="C119" s="29"/>
      <c r="D119" s="29"/>
      <c r="E119" s="282" t="str">
        <f>E7</f>
        <v>Oprava vzorové bytové jednotky budova YA</v>
      </c>
      <c r="F119" s="283"/>
      <c r="G119" s="283"/>
      <c r="H119" s="283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 x14ac:dyDescent="0.2">
      <c r="A120" s="29"/>
      <c r="B120" s="30"/>
      <c r="C120" s="26" t="s">
        <v>82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 x14ac:dyDescent="0.2">
      <c r="A121" s="29"/>
      <c r="B121" s="30"/>
      <c r="C121" s="29"/>
      <c r="D121" s="29"/>
      <c r="E121" s="246" t="str">
        <f>E9</f>
        <v>DOH074 - Bytova jednotka budova YA</v>
      </c>
      <c r="F121" s="284"/>
      <c r="G121" s="284"/>
      <c r="H121" s="284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 x14ac:dyDescent="0.2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 x14ac:dyDescent="0.2">
      <c r="A123" s="29"/>
      <c r="B123" s="30"/>
      <c r="C123" s="26" t="s">
        <v>18</v>
      </c>
      <c r="D123" s="29"/>
      <c r="E123" s="29"/>
      <c r="F123" s="24" t="str">
        <f>F12</f>
        <v>Olomouc</v>
      </c>
      <c r="G123" s="29"/>
      <c r="H123" s="29"/>
      <c r="I123" s="26" t="s">
        <v>20</v>
      </c>
      <c r="J123" s="52" t="str">
        <f>IF(J12="","",J12)</f>
        <v/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 x14ac:dyDescent="0.2">
      <c r="A125" s="29"/>
      <c r="B125" s="30"/>
      <c r="C125" s="26" t="s">
        <v>21</v>
      </c>
      <c r="D125" s="29"/>
      <c r="E125" s="29"/>
      <c r="F125" s="24" t="str">
        <f>E15</f>
        <v>FN Olomouc</v>
      </c>
      <c r="G125" s="29"/>
      <c r="H125" s="29"/>
      <c r="I125" s="26" t="s">
        <v>26</v>
      </c>
      <c r="J125" s="27" t="str">
        <f>E21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 x14ac:dyDescent="0.2">
      <c r="A126" s="29"/>
      <c r="B126" s="30"/>
      <c r="C126" s="26" t="s">
        <v>25</v>
      </c>
      <c r="D126" s="29"/>
      <c r="E126" s="29"/>
      <c r="F126" s="24" t="str">
        <f>IF(E18="","",E18)</f>
        <v/>
      </c>
      <c r="G126" s="29"/>
      <c r="H126" s="29"/>
      <c r="I126" s="26" t="s">
        <v>29</v>
      </c>
      <c r="J126" s="27" t="str">
        <f>E24</f>
        <v xml:space="preserve"> 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 x14ac:dyDescent="0.2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 x14ac:dyDescent="0.2">
      <c r="A128" s="115"/>
      <c r="B128" s="116"/>
      <c r="C128" s="117" t="s">
        <v>103</v>
      </c>
      <c r="D128" s="118" t="s">
        <v>56</v>
      </c>
      <c r="E128" s="118" t="s">
        <v>52</v>
      </c>
      <c r="F128" s="118" t="s">
        <v>53</v>
      </c>
      <c r="G128" s="118" t="s">
        <v>104</v>
      </c>
      <c r="H128" s="118" t="s">
        <v>105</v>
      </c>
      <c r="I128" s="118" t="s">
        <v>106</v>
      </c>
      <c r="J128" s="119" t="s">
        <v>87</v>
      </c>
      <c r="K128" s="120" t="s">
        <v>107</v>
      </c>
      <c r="L128" s="121"/>
      <c r="M128" s="59" t="s">
        <v>1</v>
      </c>
      <c r="N128" s="60" t="s">
        <v>35</v>
      </c>
      <c r="O128" s="60" t="s">
        <v>108</v>
      </c>
      <c r="P128" s="60" t="s">
        <v>109</v>
      </c>
      <c r="Q128" s="60" t="s">
        <v>110</v>
      </c>
      <c r="R128" s="60" t="s">
        <v>111</v>
      </c>
      <c r="S128" s="60" t="s">
        <v>112</v>
      </c>
      <c r="T128" s="61" t="s">
        <v>113</v>
      </c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</row>
    <row r="129" spans="1:65" s="2" customFormat="1" ht="22.9" customHeight="1" x14ac:dyDescent="0.25">
      <c r="A129" s="29"/>
      <c r="B129" s="30"/>
      <c r="C129" s="66" t="s">
        <v>114</v>
      </c>
      <c r="D129" s="29"/>
      <c r="E129" s="29"/>
      <c r="F129" s="29"/>
      <c r="G129" s="29"/>
      <c r="H129" s="29"/>
      <c r="I129" s="29"/>
      <c r="J129" s="122">
        <f>J130+J186+J229</f>
        <v>0</v>
      </c>
      <c r="K129" s="29"/>
      <c r="L129" s="30"/>
      <c r="M129" s="62"/>
      <c r="N129" s="53"/>
      <c r="O129" s="63"/>
      <c r="P129" s="123" t="e">
        <f>P130+P186+P229</f>
        <v>#REF!</v>
      </c>
      <c r="Q129" s="63"/>
      <c r="R129" s="123" t="e">
        <f>R130+R186+R229</f>
        <v>#REF!</v>
      </c>
      <c r="S129" s="63"/>
      <c r="T129" s="124" t="e">
        <f>T130+T186+T229</f>
        <v>#REF!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7" t="s">
        <v>70</v>
      </c>
      <c r="AU129" s="17" t="s">
        <v>89</v>
      </c>
      <c r="BK129" s="125" t="e">
        <f>BK130+BK186+BK229</f>
        <v>#REF!</v>
      </c>
    </row>
    <row r="130" spans="1:65" s="12" customFormat="1" ht="49.5" customHeight="1" x14ac:dyDescent="0.2">
      <c r="B130" s="126"/>
      <c r="D130" s="127" t="s">
        <v>70</v>
      </c>
      <c r="E130" s="128" t="s">
        <v>115</v>
      </c>
      <c r="F130" s="128" t="s">
        <v>116</v>
      </c>
      <c r="J130" s="129">
        <f>BK130</f>
        <v>0</v>
      </c>
      <c r="L130" s="126"/>
      <c r="M130" s="130"/>
      <c r="N130" s="131"/>
      <c r="O130" s="131"/>
      <c r="P130" s="132">
        <f>P131+P134+P155+P178+P183</f>
        <v>66.442306000000002</v>
      </c>
      <c r="Q130" s="131"/>
      <c r="R130" s="132">
        <f>R131+R134+R155+R178+R183</f>
        <v>0.9354808</v>
      </c>
      <c r="S130" s="131"/>
      <c r="T130" s="133">
        <f>T131+T134+T155+T178+T183</f>
        <v>2.0040000000000004</v>
      </c>
      <c r="AR130" s="127" t="s">
        <v>78</v>
      </c>
      <c r="AT130" s="134" t="s">
        <v>70</v>
      </c>
      <c r="AU130" s="134" t="s">
        <v>71</v>
      </c>
      <c r="AY130" s="127" t="s">
        <v>117</v>
      </c>
      <c r="BK130" s="135">
        <f>BK131+BK134+BK155+BK178+BK183</f>
        <v>0</v>
      </c>
    </row>
    <row r="131" spans="1:65" s="12" customFormat="1" ht="22.9" customHeight="1" x14ac:dyDescent="0.2">
      <c r="B131" s="126"/>
      <c r="D131" s="127" t="s">
        <v>70</v>
      </c>
      <c r="E131" s="136" t="s">
        <v>118</v>
      </c>
      <c r="F131" s="136" t="s">
        <v>119</v>
      </c>
      <c r="J131" s="137">
        <f>BK131</f>
        <v>0</v>
      </c>
      <c r="L131" s="126"/>
      <c r="M131" s="130"/>
      <c r="N131" s="131"/>
      <c r="O131" s="131"/>
      <c r="P131" s="132">
        <f>SUM(P132:P133)</f>
        <v>0</v>
      </c>
      <c r="Q131" s="131"/>
      <c r="R131" s="132">
        <f>SUM(R132:R133)</f>
        <v>0</v>
      </c>
      <c r="S131" s="131"/>
      <c r="T131" s="133">
        <f>SUM(T132:T133)</f>
        <v>0</v>
      </c>
      <c r="AR131" s="127" t="s">
        <v>78</v>
      </c>
      <c r="AT131" s="134" t="s">
        <v>70</v>
      </c>
      <c r="AU131" s="134" t="s">
        <v>78</v>
      </c>
      <c r="AY131" s="127" t="s">
        <v>117</v>
      </c>
      <c r="BK131" s="135">
        <f>SUM(BK132:BK133)</f>
        <v>0</v>
      </c>
    </row>
    <row r="132" spans="1:65" s="2" customFormat="1" ht="24.2" customHeight="1" x14ac:dyDescent="0.2">
      <c r="A132" s="29"/>
      <c r="B132" s="138"/>
      <c r="C132" s="139" t="s">
        <v>78</v>
      </c>
      <c r="D132" s="139" t="s">
        <v>120</v>
      </c>
      <c r="E132" s="140" t="s">
        <v>121</v>
      </c>
      <c r="F132" s="141" t="s">
        <v>122</v>
      </c>
      <c r="G132" s="142" t="s">
        <v>123</v>
      </c>
      <c r="H132" s="143">
        <v>2.5</v>
      </c>
      <c r="I132" s="144"/>
      <c r="J132" s="144">
        <f>ROUND(I132*H132,2)</f>
        <v>0</v>
      </c>
      <c r="K132" s="145"/>
      <c r="L132" s="30"/>
      <c r="M132" s="146" t="s">
        <v>1</v>
      </c>
      <c r="N132" s="147" t="s">
        <v>36</v>
      </c>
      <c r="O132" s="148">
        <v>0</v>
      </c>
      <c r="P132" s="148">
        <f>O132*H132</f>
        <v>0</v>
      </c>
      <c r="Q132" s="148">
        <v>0</v>
      </c>
      <c r="R132" s="148">
        <f>Q132*H132</f>
        <v>0</v>
      </c>
      <c r="S132" s="148">
        <v>0</v>
      </c>
      <c r="T132" s="149">
        <f>S132*H132</f>
        <v>0</v>
      </c>
      <c r="U132" s="29"/>
      <c r="V132" s="29"/>
      <c r="W132" s="190">
        <v>995</v>
      </c>
      <c r="X132" s="29"/>
      <c r="Y132" s="29"/>
      <c r="Z132" s="29"/>
      <c r="AA132" s="29"/>
      <c r="AB132" s="29"/>
      <c r="AC132" s="29"/>
      <c r="AD132" s="29"/>
      <c r="AE132" s="29"/>
      <c r="AR132" s="150" t="s">
        <v>124</v>
      </c>
      <c r="AT132" s="150" t="s">
        <v>120</v>
      </c>
      <c r="AU132" s="150" t="s">
        <v>80</v>
      </c>
      <c r="AY132" s="17" t="s">
        <v>117</v>
      </c>
      <c r="BE132" s="151">
        <f>IF(N132="základní",J132,0)</f>
        <v>0</v>
      </c>
      <c r="BF132" s="151">
        <f>IF(N132="snížená",J132,0)</f>
        <v>0</v>
      </c>
      <c r="BG132" s="151">
        <f>IF(N132="zákl. přenesená",J132,0)</f>
        <v>0</v>
      </c>
      <c r="BH132" s="151">
        <f>IF(N132="sníž. přenesená",J132,0)</f>
        <v>0</v>
      </c>
      <c r="BI132" s="151">
        <f>IF(N132="nulová",J132,0)</f>
        <v>0</v>
      </c>
      <c r="BJ132" s="17" t="s">
        <v>78</v>
      </c>
      <c r="BK132" s="151">
        <f>ROUND(I132*H132,2)</f>
        <v>0</v>
      </c>
      <c r="BL132" s="17" t="s">
        <v>124</v>
      </c>
      <c r="BM132" s="150" t="s">
        <v>80</v>
      </c>
    </row>
    <row r="133" spans="1:65" s="2" customFormat="1" ht="19.5" x14ac:dyDescent="0.2">
      <c r="A133" s="29"/>
      <c r="B133" s="30"/>
      <c r="C133" s="29"/>
      <c r="D133" s="152" t="s">
        <v>125</v>
      </c>
      <c r="E133" s="29"/>
      <c r="F133" s="153" t="s">
        <v>122</v>
      </c>
      <c r="G133" s="29"/>
      <c r="H133" s="29"/>
      <c r="I133" s="29"/>
      <c r="J133" s="29"/>
      <c r="K133" s="29"/>
      <c r="L133" s="30"/>
      <c r="M133" s="154"/>
      <c r="N133" s="155"/>
      <c r="O133" s="55"/>
      <c r="P133" s="55"/>
      <c r="Q133" s="55"/>
      <c r="R133" s="55"/>
      <c r="S133" s="55"/>
      <c r="T133" s="56"/>
      <c r="U133" s="29"/>
      <c r="V133" s="29"/>
      <c r="W133" s="191"/>
      <c r="X133" s="29"/>
      <c r="Y133" s="29"/>
      <c r="Z133" s="29"/>
      <c r="AA133" s="29"/>
      <c r="AB133" s="29"/>
      <c r="AC133" s="29"/>
      <c r="AD133" s="29"/>
      <c r="AE133" s="29"/>
      <c r="AT133" s="17" t="s">
        <v>125</v>
      </c>
      <c r="AU133" s="17" t="s">
        <v>80</v>
      </c>
    </row>
    <row r="134" spans="1:65" s="12" customFormat="1" ht="22.9" customHeight="1" x14ac:dyDescent="0.2">
      <c r="B134" s="126"/>
      <c r="D134" s="127" t="s">
        <v>70</v>
      </c>
      <c r="E134" s="136" t="s">
        <v>126</v>
      </c>
      <c r="F134" s="136" t="s">
        <v>127</v>
      </c>
      <c r="J134" s="137">
        <f>BK134</f>
        <v>0</v>
      </c>
      <c r="L134" s="126"/>
      <c r="M134" s="130"/>
      <c r="N134" s="131"/>
      <c r="O134" s="131"/>
      <c r="P134" s="132">
        <f>SUM(P135:P154)</f>
        <v>20.261456000000003</v>
      </c>
      <c r="Q134" s="131"/>
      <c r="R134" s="132">
        <f>SUM(R135:R154)</f>
        <v>0.93049680000000001</v>
      </c>
      <c r="S134" s="131"/>
      <c r="T134" s="133">
        <f>SUM(T135:T154)</f>
        <v>0</v>
      </c>
      <c r="W134" s="192"/>
      <c r="AR134" s="127" t="s">
        <v>78</v>
      </c>
      <c r="AT134" s="134" t="s">
        <v>70</v>
      </c>
      <c r="AU134" s="134" t="s">
        <v>78</v>
      </c>
      <c r="AY134" s="127" t="s">
        <v>117</v>
      </c>
      <c r="BK134" s="135">
        <f>SUM(BK135:BK154)</f>
        <v>0</v>
      </c>
    </row>
    <row r="135" spans="1:65" s="2" customFormat="1" ht="24.2" customHeight="1" x14ac:dyDescent="0.2">
      <c r="A135" s="29"/>
      <c r="B135" s="138"/>
      <c r="C135" s="139" t="s">
        <v>80</v>
      </c>
      <c r="D135" s="139" t="s">
        <v>120</v>
      </c>
      <c r="E135" s="140" t="s">
        <v>128</v>
      </c>
      <c r="F135" s="141" t="s">
        <v>129</v>
      </c>
      <c r="G135" s="142" t="s">
        <v>123</v>
      </c>
      <c r="H135" s="143">
        <v>3</v>
      </c>
      <c r="I135" s="144"/>
      <c r="J135" s="144">
        <f>ROUND(I135*H135,2)</f>
        <v>0</v>
      </c>
      <c r="K135" s="145"/>
      <c r="L135" s="30"/>
      <c r="M135" s="146" t="s">
        <v>1</v>
      </c>
      <c r="N135" s="147" t="s">
        <v>36</v>
      </c>
      <c r="O135" s="148">
        <v>0.35799999999999998</v>
      </c>
      <c r="P135" s="148">
        <f>O135*H135</f>
        <v>1.0739999999999998</v>
      </c>
      <c r="Q135" s="148">
        <v>3.0000000000000001E-3</v>
      </c>
      <c r="R135" s="148">
        <f>Q135*H135</f>
        <v>9.0000000000000011E-3</v>
      </c>
      <c r="S135" s="148">
        <v>0</v>
      </c>
      <c r="T135" s="149">
        <f>S135*H135</f>
        <v>0</v>
      </c>
      <c r="U135" s="29"/>
      <c r="V135" s="29"/>
      <c r="W135" s="193"/>
      <c r="X135" s="29"/>
      <c r="Y135" s="29"/>
      <c r="Z135" s="29"/>
      <c r="AA135" s="29"/>
      <c r="AB135" s="29"/>
      <c r="AC135" s="29"/>
      <c r="AD135" s="29"/>
      <c r="AE135" s="29"/>
      <c r="AR135" s="150" t="s">
        <v>124</v>
      </c>
      <c r="AT135" s="150" t="s">
        <v>120</v>
      </c>
      <c r="AU135" s="150" t="s">
        <v>80</v>
      </c>
      <c r="AY135" s="17" t="s">
        <v>117</v>
      </c>
      <c r="BE135" s="151">
        <f>IF(N135="základní",J135,0)</f>
        <v>0</v>
      </c>
      <c r="BF135" s="151">
        <f>IF(N135="snížená",J135,0)</f>
        <v>0</v>
      </c>
      <c r="BG135" s="151">
        <f>IF(N135="zákl. přenesená",J135,0)</f>
        <v>0</v>
      </c>
      <c r="BH135" s="151">
        <f>IF(N135="sníž. přenesená",J135,0)</f>
        <v>0</v>
      </c>
      <c r="BI135" s="151">
        <f>IF(N135="nulová",J135,0)</f>
        <v>0</v>
      </c>
      <c r="BJ135" s="17" t="s">
        <v>78</v>
      </c>
      <c r="BK135" s="151">
        <f>ROUND(I135*H135,2)</f>
        <v>0</v>
      </c>
      <c r="BL135" s="17" t="s">
        <v>124</v>
      </c>
      <c r="BM135" s="150" t="s">
        <v>124</v>
      </c>
    </row>
    <row r="136" spans="1:65" s="2" customFormat="1" ht="19.5" x14ac:dyDescent="0.2">
      <c r="A136" s="29"/>
      <c r="B136" s="30"/>
      <c r="C136" s="29"/>
      <c r="D136" s="152" t="s">
        <v>125</v>
      </c>
      <c r="E136" s="29"/>
      <c r="F136" s="153" t="s">
        <v>129</v>
      </c>
      <c r="G136" s="29"/>
      <c r="H136" s="29"/>
      <c r="I136" s="29"/>
      <c r="J136" s="29"/>
      <c r="K136" s="29"/>
      <c r="L136" s="30"/>
      <c r="M136" s="154"/>
      <c r="N136" s="155"/>
      <c r="O136" s="55"/>
      <c r="P136" s="55"/>
      <c r="Q136" s="55"/>
      <c r="R136" s="55"/>
      <c r="S136" s="55"/>
      <c r="T136" s="56"/>
      <c r="U136" s="29"/>
      <c r="V136" s="29"/>
      <c r="W136" s="190">
        <v>201</v>
      </c>
      <c r="X136" s="29"/>
      <c r="Y136" s="29"/>
      <c r="Z136" s="29"/>
      <c r="AA136" s="29"/>
      <c r="AB136" s="29"/>
      <c r="AC136" s="29"/>
      <c r="AD136" s="29"/>
      <c r="AE136" s="29"/>
      <c r="AT136" s="17" t="s">
        <v>125</v>
      </c>
      <c r="AU136" s="17" t="s">
        <v>80</v>
      </c>
    </row>
    <row r="137" spans="1:65" s="2" customFormat="1" ht="24.2" customHeight="1" x14ac:dyDescent="0.2">
      <c r="A137" s="29"/>
      <c r="B137" s="138"/>
      <c r="C137" s="139" t="s">
        <v>118</v>
      </c>
      <c r="D137" s="139" t="s">
        <v>120</v>
      </c>
      <c r="E137" s="140" t="s">
        <v>130</v>
      </c>
      <c r="F137" s="141" t="s">
        <v>131</v>
      </c>
      <c r="G137" s="142" t="s">
        <v>123</v>
      </c>
      <c r="H137" s="143">
        <v>27.1</v>
      </c>
      <c r="I137" s="144"/>
      <c r="J137" s="144">
        <f>ROUND(I137*H137,2)</f>
        <v>0</v>
      </c>
      <c r="K137" s="145"/>
      <c r="L137" s="30"/>
      <c r="M137" s="146" t="s">
        <v>1</v>
      </c>
      <c r="N137" s="147" t="s">
        <v>36</v>
      </c>
      <c r="O137" s="148">
        <v>0.219</v>
      </c>
      <c r="P137" s="148">
        <f>O137*H137</f>
        <v>5.9349000000000007</v>
      </c>
      <c r="Q137" s="148">
        <v>5.1000000000000004E-3</v>
      </c>
      <c r="R137" s="148">
        <f>Q137*H137</f>
        <v>0.13821000000000003</v>
      </c>
      <c r="S137" s="148">
        <v>0</v>
      </c>
      <c r="T137" s="149">
        <f>S137*H137</f>
        <v>0</v>
      </c>
      <c r="U137" s="29"/>
      <c r="V137" s="29"/>
      <c r="W137" s="191"/>
      <c r="X137" s="29"/>
      <c r="Y137" s="29"/>
      <c r="Z137" s="29"/>
      <c r="AA137" s="29"/>
      <c r="AB137" s="29"/>
      <c r="AC137" s="29"/>
      <c r="AD137" s="29"/>
      <c r="AE137" s="29"/>
      <c r="AR137" s="150" t="s">
        <v>124</v>
      </c>
      <c r="AT137" s="150" t="s">
        <v>120</v>
      </c>
      <c r="AU137" s="150" t="s">
        <v>80</v>
      </c>
      <c r="AY137" s="17" t="s">
        <v>117</v>
      </c>
      <c r="BE137" s="151">
        <f>IF(N137="základní",J137,0)</f>
        <v>0</v>
      </c>
      <c r="BF137" s="151">
        <f>IF(N137="snížená",J137,0)</f>
        <v>0</v>
      </c>
      <c r="BG137" s="151">
        <f>IF(N137="zákl. přenesená",J137,0)</f>
        <v>0</v>
      </c>
      <c r="BH137" s="151">
        <f>IF(N137="sníž. přenesená",J137,0)</f>
        <v>0</v>
      </c>
      <c r="BI137" s="151">
        <f>IF(N137="nulová",J137,0)</f>
        <v>0</v>
      </c>
      <c r="BJ137" s="17" t="s">
        <v>78</v>
      </c>
      <c r="BK137" s="151">
        <f>ROUND(I137*H137,2)</f>
        <v>0</v>
      </c>
      <c r="BL137" s="17" t="s">
        <v>124</v>
      </c>
      <c r="BM137" s="150" t="s">
        <v>126</v>
      </c>
    </row>
    <row r="138" spans="1:65" s="2" customFormat="1" ht="19.5" x14ac:dyDescent="0.2">
      <c r="A138" s="29"/>
      <c r="B138" s="30"/>
      <c r="C138" s="29"/>
      <c r="D138" s="152" t="s">
        <v>125</v>
      </c>
      <c r="E138" s="29"/>
      <c r="F138" s="153" t="s">
        <v>131</v>
      </c>
      <c r="G138" s="29"/>
      <c r="H138" s="29"/>
      <c r="I138" s="29"/>
      <c r="J138" s="29"/>
      <c r="K138" s="29"/>
      <c r="L138" s="30"/>
      <c r="M138" s="154"/>
      <c r="N138" s="155"/>
      <c r="O138" s="55"/>
      <c r="P138" s="55"/>
      <c r="Q138" s="55"/>
      <c r="R138" s="55"/>
      <c r="S138" s="55"/>
      <c r="T138" s="56"/>
      <c r="U138" s="29"/>
      <c r="V138" s="29"/>
      <c r="W138" s="192"/>
      <c r="X138" s="29"/>
      <c r="Y138" s="29"/>
      <c r="Z138" s="29"/>
      <c r="AA138" s="29"/>
      <c r="AB138" s="29"/>
      <c r="AC138" s="29"/>
      <c r="AD138" s="29"/>
      <c r="AE138" s="29"/>
      <c r="AT138" s="17" t="s">
        <v>125</v>
      </c>
      <c r="AU138" s="17" t="s">
        <v>80</v>
      </c>
    </row>
    <row r="139" spans="1:65" s="2" customFormat="1" ht="21.75" customHeight="1" x14ac:dyDescent="0.2">
      <c r="A139" s="29"/>
      <c r="B139" s="138"/>
      <c r="C139" s="139" t="s">
        <v>124</v>
      </c>
      <c r="D139" s="139" t="s">
        <v>120</v>
      </c>
      <c r="E139" s="140" t="s">
        <v>132</v>
      </c>
      <c r="F139" s="141" t="s">
        <v>133</v>
      </c>
      <c r="G139" s="142" t="s">
        <v>123</v>
      </c>
      <c r="H139" s="143">
        <v>0.79500000000000004</v>
      </c>
      <c r="I139" s="144"/>
      <c r="J139" s="144">
        <f>ROUND(I139*H139,2)</f>
        <v>0</v>
      </c>
      <c r="K139" s="145"/>
      <c r="L139" s="30"/>
      <c r="M139" s="146" t="s">
        <v>1</v>
      </c>
      <c r="N139" s="147" t="s">
        <v>36</v>
      </c>
      <c r="O139" s="148">
        <v>0.624</v>
      </c>
      <c r="P139" s="148">
        <f>O139*H139</f>
        <v>0.49608000000000002</v>
      </c>
      <c r="Q139" s="148">
        <v>0.04</v>
      </c>
      <c r="R139" s="148">
        <f>Q139*H139</f>
        <v>3.1800000000000002E-2</v>
      </c>
      <c r="S139" s="148">
        <v>0</v>
      </c>
      <c r="T139" s="149">
        <f>S139*H139</f>
        <v>0</v>
      </c>
      <c r="U139" s="29"/>
      <c r="V139" s="29"/>
      <c r="W139" s="190">
        <v>130</v>
      </c>
      <c r="X139" s="29"/>
      <c r="Y139" s="29"/>
      <c r="Z139" s="29"/>
      <c r="AA139" s="29"/>
      <c r="AB139" s="29"/>
      <c r="AC139" s="29"/>
      <c r="AD139" s="29"/>
      <c r="AE139" s="29"/>
      <c r="AR139" s="150" t="s">
        <v>124</v>
      </c>
      <c r="AT139" s="150" t="s">
        <v>120</v>
      </c>
      <c r="AU139" s="150" t="s">
        <v>80</v>
      </c>
      <c r="AY139" s="17" t="s">
        <v>117</v>
      </c>
      <c r="BE139" s="151">
        <f>IF(N139="základní",J139,0)</f>
        <v>0</v>
      </c>
      <c r="BF139" s="151">
        <f>IF(N139="snížená",J139,0)</f>
        <v>0</v>
      </c>
      <c r="BG139" s="151">
        <f>IF(N139="zákl. přenesená",J139,0)</f>
        <v>0</v>
      </c>
      <c r="BH139" s="151">
        <f>IF(N139="sníž. přenesená",J139,0)</f>
        <v>0</v>
      </c>
      <c r="BI139" s="151">
        <f>IF(N139="nulová",J139,0)</f>
        <v>0</v>
      </c>
      <c r="BJ139" s="17" t="s">
        <v>78</v>
      </c>
      <c r="BK139" s="151">
        <f>ROUND(I139*H139,2)</f>
        <v>0</v>
      </c>
      <c r="BL139" s="17" t="s">
        <v>124</v>
      </c>
      <c r="BM139" s="150" t="s">
        <v>134</v>
      </c>
    </row>
    <row r="140" spans="1:65" s="2" customFormat="1" ht="12" x14ac:dyDescent="0.2">
      <c r="A140" s="29"/>
      <c r="B140" s="30"/>
      <c r="C140" s="29"/>
      <c r="D140" s="152" t="s">
        <v>125</v>
      </c>
      <c r="E140" s="29"/>
      <c r="F140" s="153" t="s">
        <v>133</v>
      </c>
      <c r="G140" s="29"/>
      <c r="H140" s="29"/>
      <c r="I140" s="29"/>
      <c r="J140" s="29"/>
      <c r="K140" s="29"/>
      <c r="L140" s="30"/>
      <c r="M140" s="154"/>
      <c r="N140" s="155"/>
      <c r="O140" s="55"/>
      <c r="P140" s="55"/>
      <c r="Q140" s="55"/>
      <c r="R140" s="55"/>
      <c r="S140" s="55"/>
      <c r="T140" s="56"/>
      <c r="U140" s="29"/>
      <c r="V140" s="29"/>
      <c r="W140" s="190">
        <v>471</v>
      </c>
      <c r="X140" s="29"/>
      <c r="Y140" s="29"/>
      <c r="Z140" s="29"/>
      <c r="AA140" s="29"/>
      <c r="AB140" s="29"/>
      <c r="AC140" s="29"/>
      <c r="AD140" s="29"/>
      <c r="AE140" s="29"/>
      <c r="AT140" s="17" t="s">
        <v>125</v>
      </c>
      <c r="AU140" s="17" t="s">
        <v>80</v>
      </c>
    </row>
    <row r="141" spans="1:65" s="13" customFormat="1" x14ac:dyDescent="0.2">
      <c r="B141" s="156"/>
      <c r="D141" s="152" t="s">
        <v>135</v>
      </c>
      <c r="E141" s="157" t="s">
        <v>1</v>
      </c>
      <c r="F141" s="158" t="s">
        <v>136</v>
      </c>
      <c r="H141" s="157" t="s">
        <v>1</v>
      </c>
      <c r="L141" s="156"/>
      <c r="M141" s="159"/>
      <c r="N141" s="160"/>
      <c r="O141" s="160"/>
      <c r="P141" s="160"/>
      <c r="Q141" s="160"/>
      <c r="R141" s="160"/>
      <c r="S141" s="160"/>
      <c r="T141" s="161"/>
      <c r="W141" s="191"/>
      <c r="AT141" s="157" t="s">
        <v>135</v>
      </c>
      <c r="AU141" s="157" t="s">
        <v>80</v>
      </c>
      <c r="AV141" s="13" t="s">
        <v>78</v>
      </c>
      <c r="AW141" s="13" t="s">
        <v>28</v>
      </c>
      <c r="AX141" s="13" t="s">
        <v>71</v>
      </c>
      <c r="AY141" s="157" t="s">
        <v>117</v>
      </c>
    </row>
    <row r="142" spans="1:65" s="14" customFormat="1" x14ac:dyDescent="0.2">
      <c r="B142" s="162"/>
      <c r="D142" s="152" t="s">
        <v>135</v>
      </c>
      <c r="E142" s="163" t="s">
        <v>1</v>
      </c>
      <c r="F142" s="164" t="s">
        <v>137</v>
      </c>
      <c r="H142" s="165">
        <v>0.79500000000000004</v>
      </c>
      <c r="L142" s="162"/>
      <c r="M142" s="166"/>
      <c r="N142" s="167"/>
      <c r="O142" s="167"/>
      <c r="P142" s="167"/>
      <c r="Q142" s="167"/>
      <c r="R142" s="167"/>
      <c r="S142" s="167"/>
      <c r="T142" s="168"/>
      <c r="W142" s="192"/>
      <c r="AT142" s="163" t="s">
        <v>135</v>
      </c>
      <c r="AU142" s="163" t="s">
        <v>80</v>
      </c>
      <c r="AV142" s="14" t="s">
        <v>80</v>
      </c>
      <c r="AW142" s="14" t="s">
        <v>28</v>
      </c>
      <c r="AX142" s="14" t="s">
        <v>71</v>
      </c>
      <c r="AY142" s="163" t="s">
        <v>117</v>
      </c>
    </row>
    <row r="143" spans="1:65" s="15" customFormat="1" ht="12" x14ac:dyDescent="0.2">
      <c r="B143" s="169"/>
      <c r="D143" s="152" t="s">
        <v>135</v>
      </c>
      <c r="E143" s="170" t="s">
        <v>1</v>
      </c>
      <c r="F143" s="171" t="s">
        <v>138</v>
      </c>
      <c r="H143" s="172">
        <v>0.79500000000000004</v>
      </c>
      <c r="L143" s="169"/>
      <c r="M143" s="173"/>
      <c r="N143" s="174"/>
      <c r="O143" s="174"/>
      <c r="P143" s="174"/>
      <c r="Q143" s="174"/>
      <c r="R143" s="174"/>
      <c r="S143" s="174"/>
      <c r="T143" s="175"/>
      <c r="W143" s="190">
        <v>259</v>
      </c>
      <c r="AT143" s="170" t="s">
        <v>135</v>
      </c>
      <c r="AU143" s="170" t="s">
        <v>80</v>
      </c>
      <c r="AV143" s="15" t="s">
        <v>124</v>
      </c>
      <c r="AW143" s="15" t="s">
        <v>28</v>
      </c>
      <c r="AX143" s="15" t="s">
        <v>78</v>
      </c>
      <c r="AY143" s="170" t="s">
        <v>117</v>
      </c>
    </row>
    <row r="144" spans="1:65" s="2" customFormat="1" ht="24.2" customHeight="1" x14ac:dyDescent="0.2">
      <c r="A144" s="29"/>
      <c r="B144" s="138"/>
      <c r="C144" s="139" t="s">
        <v>139</v>
      </c>
      <c r="D144" s="139" t="s">
        <v>120</v>
      </c>
      <c r="E144" s="140" t="s">
        <v>140</v>
      </c>
      <c r="F144" s="141" t="s">
        <v>141</v>
      </c>
      <c r="G144" s="142" t="s">
        <v>123</v>
      </c>
      <c r="H144" s="143">
        <v>3</v>
      </c>
      <c r="I144" s="144"/>
      <c r="J144" s="144">
        <f>ROUND(I144*H144,2)</f>
        <v>0</v>
      </c>
      <c r="K144" s="145"/>
      <c r="L144" s="30"/>
      <c r="M144" s="146" t="s">
        <v>1</v>
      </c>
      <c r="N144" s="147" t="s">
        <v>36</v>
      </c>
      <c r="O144" s="148">
        <v>0.36</v>
      </c>
      <c r="P144" s="148">
        <f>O144*H144</f>
        <v>1.08</v>
      </c>
      <c r="Q144" s="148">
        <v>4.3800000000000002E-3</v>
      </c>
      <c r="R144" s="148">
        <f>Q144*H144</f>
        <v>1.3140000000000001E-2</v>
      </c>
      <c r="S144" s="148">
        <v>0</v>
      </c>
      <c r="T144" s="149">
        <f>S144*H144</f>
        <v>0</v>
      </c>
      <c r="U144" s="29"/>
      <c r="V144" s="29"/>
      <c r="W144" s="191"/>
      <c r="X144" s="29"/>
      <c r="Y144" s="29"/>
      <c r="Z144" s="29"/>
      <c r="AA144" s="29"/>
      <c r="AB144" s="29"/>
      <c r="AC144" s="29"/>
      <c r="AD144" s="29"/>
      <c r="AE144" s="29"/>
      <c r="AR144" s="150" t="s">
        <v>124</v>
      </c>
      <c r="AT144" s="150" t="s">
        <v>120</v>
      </c>
      <c r="AU144" s="150" t="s">
        <v>80</v>
      </c>
      <c r="AY144" s="17" t="s">
        <v>117</v>
      </c>
      <c r="BE144" s="151">
        <f>IF(N144="základní",J144,0)</f>
        <v>0</v>
      </c>
      <c r="BF144" s="151">
        <f>IF(N144="snížená",J144,0)</f>
        <v>0</v>
      </c>
      <c r="BG144" s="151">
        <f>IF(N144="zákl. přenesená",J144,0)</f>
        <v>0</v>
      </c>
      <c r="BH144" s="151">
        <f>IF(N144="sníž. přenesená",J144,0)</f>
        <v>0</v>
      </c>
      <c r="BI144" s="151">
        <f>IF(N144="nulová",J144,0)</f>
        <v>0</v>
      </c>
      <c r="BJ144" s="17" t="s">
        <v>78</v>
      </c>
      <c r="BK144" s="151">
        <f>ROUND(I144*H144,2)</f>
        <v>0</v>
      </c>
      <c r="BL144" s="17" t="s">
        <v>124</v>
      </c>
      <c r="BM144" s="150" t="s">
        <v>142</v>
      </c>
    </row>
    <row r="145" spans="1:65" s="2" customFormat="1" ht="19.5" x14ac:dyDescent="0.2">
      <c r="A145" s="29"/>
      <c r="B145" s="30"/>
      <c r="C145" s="29"/>
      <c r="D145" s="152" t="s">
        <v>125</v>
      </c>
      <c r="E145" s="29"/>
      <c r="F145" s="153" t="s">
        <v>141</v>
      </c>
      <c r="G145" s="29"/>
      <c r="H145" s="29"/>
      <c r="I145" s="29"/>
      <c r="J145" s="29"/>
      <c r="K145" s="29"/>
      <c r="L145" s="30"/>
      <c r="M145" s="154"/>
      <c r="N145" s="155"/>
      <c r="O145" s="55"/>
      <c r="P145" s="55"/>
      <c r="Q145" s="55"/>
      <c r="R145" s="55"/>
      <c r="S145" s="55"/>
      <c r="T145" s="56"/>
      <c r="U145" s="29"/>
      <c r="V145" s="29"/>
      <c r="W145" s="192"/>
      <c r="X145" s="29"/>
      <c r="Y145" s="29"/>
      <c r="Z145" s="29"/>
      <c r="AA145" s="29"/>
      <c r="AB145" s="29"/>
      <c r="AC145" s="29"/>
      <c r="AD145" s="29"/>
      <c r="AE145" s="29"/>
      <c r="AT145" s="17" t="s">
        <v>125</v>
      </c>
      <c r="AU145" s="17" t="s">
        <v>80</v>
      </c>
    </row>
    <row r="146" spans="1:65" s="2" customFormat="1" ht="24.2" customHeight="1" x14ac:dyDescent="0.2">
      <c r="A146" s="29"/>
      <c r="B146" s="138"/>
      <c r="C146" s="139" t="s">
        <v>126</v>
      </c>
      <c r="D146" s="139" t="s">
        <v>120</v>
      </c>
      <c r="E146" s="140" t="s">
        <v>143</v>
      </c>
      <c r="F146" s="141" t="s">
        <v>144</v>
      </c>
      <c r="G146" s="142" t="s">
        <v>123</v>
      </c>
      <c r="H146" s="143">
        <v>4</v>
      </c>
      <c r="I146" s="144"/>
      <c r="J146" s="144">
        <f>ROUND(I146*H146,2)</f>
        <v>0</v>
      </c>
      <c r="K146" s="145"/>
      <c r="L146" s="30"/>
      <c r="M146" s="146" t="s">
        <v>1</v>
      </c>
      <c r="N146" s="147" t="s">
        <v>36</v>
      </c>
      <c r="O146" s="148">
        <v>0.27200000000000002</v>
      </c>
      <c r="P146" s="148">
        <f>O146*H146</f>
        <v>1.0880000000000001</v>
      </c>
      <c r="Q146" s="148">
        <v>3.0000000000000001E-3</v>
      </c>
      <c r="R146" s="148">
        <f>Q146*H146</f>
        <v>1.2E-2</v>
      </c>
      <c r="S146" s="148">
        <v>0</v>
      </c>
      <c r="T146" s="149">
        <f>S146*H146</f>
        <v>0</v>
      </c>
      <c r="U146" s="29"/>
      <c r="V146" s="29"/>
      <c r="W146" s="190">
        <v>157</v>
      </c>
      <c r="X146" s="29"/>
      <c r="Y146" s="29"/>
      <c r="Z146" s="29"/>
      <c r="AA146" s="29"/>
      <c r="AB146" s="29"/>
      <c r="AC146" s="29"/>
      <c r="AD146" s="29"/>
      <c r="AE146" s="29"/>
      <c r="AR146" s="150" t="s">
        <v>124</v>
      </c>
      <c r="AT146" s="150" t="s">
        <v>120</v>
      </c>
      <c r="AU146" s="150" t="s">
        <v>80</v>
      </c>
      <c r="AY146" s="17" t="s">
        <v>117</v>
      </c>
      <c r="BE146" s="151">
        <f>IF(N146="základní",J146,0)</f>
        <v>0</v>
      </c>
      <c r="BF146" s="151">
        <f>IF(N146="snížená",J146,0)</f>
        <v>0</v>
      </c>
      <c r="BG146" s="151">
        <f>IF(N146="zákl. přenesená",J146,0)</f>
        <v>0</v>
      </c>
      <c r="BH146" s="151">
        <f>IF(N146="sníž. přenesená",J146,0)</f>
        <v>0</v>
      </c>
      <c r="BI146" s="151">
        <f>IF(N146="nulová",J146,0)</f>
        <v>0</v>
      </c>
      <c r="BJ146" s="17" t="s">
        <v>78</v>
      </c>
      <c r="BK146" s="151">
        <f>ROUND(I146*H146,2)</f>
        <v>0</v>
      </c>
      <c r="BL146" s="17" t="s">
        <v>124</v>
      </c>
      <c r="BM146" s="150" t="s">
        <v>145</v>
      </c>
    </row>
    <row r="147" spans="1:65" s="2" customFormat="1" ht="19.5" x14ac:dyDescent="0.2">
      <c r="A147" s="29"/>
      <c r="B147" s="30"/>
      <c r="C147" s="29"/>
      <c r="D147" s="152" t="s">
        <v>125</v>
      </c>
      <c r="E147" s="29"/>
      <c r="F147" s="153" t="s">
        <v>144</v>
      </c>
      <c r="G147" s="29"/>
      <c r="H147" s="29"/>
      <c r="I147" s="29"/>
      <c r="J147" s="29"/>
      <c r="K147" s="29"/>
      <c r="L147" s="30"/>
      <c r="M147" s="154"/>
      <c r="N147" s="155"/>
      <c r="O147" s="55"/>
      <c r="P147" s="55"/>
      <c r="Q147" s="55"/>
      <c r="R147" s="55"/>
      <c r="S147" s="55"/>
      <c r="T147" s="56"/>
      <c r="U147" s="29"/>
      <c r="V147" s="29"/>
      <c r="W147" s="194"/>
      <c r="X147" s="29"/>
      <c r="Y147" s="29"/>
      <c r="Z147" s="29"/>
      <c r="AA147" s="29"/>
      <c r="AB147" s="29"/>
      <c r="AC147" s="29"/>
      <c r="AD147" s="29"/>
      <c r="AE147" s="29"/>
      <c r="AT147" s="17" t="s">
        <v>125</v>
      </c>
      <c r="AU147" s="17" t="s">
        <v>80</v>
      </c>
    </row>
    <row r="148" spans="1:65" s="2" customFormat="1" ht="24.2" customHeight="1" x14ac:dyDescent="0.2">
      <c r="A148" s="29"/>
      <c r="B148" s="138"/>
      <c r="C148" s="139" t="s">
        <v>146</v>
      </c>
      <c r="D148" s="139" t="s">
        <v>120</v>
      </c>
      <c r="E148" s="140" t="s">
        <v>147</v>
      </c>
      <c r="F148" s="141" t="s">
        <v>148</v>
      </c>
      <c r="G148" s="142" t="s">
        <v>123</v>
      </c>
      <c r="H148" s="143">
        <v>53.759</v>
      </c>
      <c r="I148" s="144"/>
      <c r="J148" s="144">
        <f>ROUND(I148*H148,2)</f>
        <v>0</v>
      </c>
      <c r="K148" s="145"/>
      <c r="L148" s="30"/>
      <c r="M148" s="146" t="s">
        <v>1</v>
      </c>
      <c r="N148" s="147" t="s">
        <v>36</v>
      </c>
      <c r="O148" s="148">
        <v>0.16400000000000001</v>
      </c>
      <c r="P148" s="148">
        <f>O148*H148</f>
        <v>8.8164759999999998</v>
      </c>
      <c r="Q148" s="148">
        <v>5.1999999999999998E-3</v>
      </c>
      <c r="R148" s="148">
        <f>Q148*H148</f>
        <v>0.27954679999999998</v>
      </c>
      <c r="S148" s="148">
        <v>0</v>
      </c>
      <c r="T148" s="149">
        <f>S148*H148</f>
        <v>0</v>
      </c>
      <c r="U148" s="29"/>
      <c r="V148" s="29"/>
      <c r="W148" s="190">
        <v>102</v>
      </c>
      <c r="X148" s="29"/>
      <c r="Y148" s="29"/>
      <c r="Z148" s="29"/>
      <c r="AA148" s="29"/>
      <c r="AB148" s="29"/>
      <c r="AC148" s="29"/>
      <c r="AD148" s="29"/>
      <c r="AE148" s="29"/>
      <c r="AR148" s="150" t="s">
        <v>124</v>
      </c>
      <c r="AT148" s="150" t="s">
        <v>120</v>
      </c>
      <c r="AU148" s="150" t="s">
        <v>80</v>
      </c>
      <c r="AY148" s="17" t="s">
        <v>117</v>
      </c>
      <c r="BE148" s="151">
        <f>IF(N148="základní",J148,0)</f>
        <v>0</v>
      </c>
      <c r="BF148" s="151">
        <f>IF(N148="snížená",J148,0)</f>
        <v>0</v>
      </c>
      <c r="BG148" s="151">
        <f>IF(N148="zákl. přenesená",J148,0)</f>
        <v>0</v>
      </c>
      <c r="BH148" s="151">
        <f>IF(N148="sníž. přenesená",J148,0)</f>
        <v>0</v>
      </c>
      <c r="BI148" s="151">
        <f>IF(N148="nulová",J148,0)</f>
        <v>0</v>
      </c>
      <c r="BJ148" s="17" t="s">
        <v>78</v>
      </c>
      <c r="BK148" s="151">
        <f>ROUND(I148*H148,2)</f>
        <v>0</v>
      </c>
      <c r="BL148" s="17" t="s">
        <v>124</v>
      </c>
      <c r="BM148" s="150" t="s">
        <v>149</v>
      </c>
    </row>
    <row r="149" spans="1:65" s="2" customFormat="1" ht="19.5" x14ac:dyDescent="0.2">
      <c r="A149" s="29"/>
      <c r="B149" s="30"/>
      <c r="C149" s="29"/>
      <c r="D149" s="152" t="s">
        <v>125</v>
      </c>
      <c r="E149" s="29"/>
      <c r="F149" s="153" t="s">
        <v>148</v>
      </c>
      <c r="G149" s="29"/>
      <c r="H149" s="29"/>
      <c r="I149" s="29"/>
      <c r="J149" s="29"/>
      <c r="K149" s="29"/>
      <c r="L149" s="30"/>
      <c r="M149" s="154"/>
      <c r="N149" s="155"/>
      <c r="O149" s="55"/>
      <c r="P149" s="55"/>
      <c r="Q149" s="55"/>
      <c r="R149" s="55"/>
      <c r="S149" s="55"/>
      <c r="T149" s="56"/>
      <c r="U149" s="29"/>
      <c r="V149" s="29"/>
      <c r="W149" s="191"/>
      <c r="X149" s="29"/>
      <c r="Y149" s="29"/>
      <c r="Z149" s="29"/>
      <c r="AA149" s="29"/>
      <c r="AB149" s="29"/>
      <c r="AC149" s="29"/>
      <c r="AD149" s="29"/>
      <c r="AE149" s="29"/>
      <c r="AT149" s="17" t="s">
        <v>125</v>
      </c>
      <c r="AU149" s="17" t="s">
        <v>80</v>
      </c>
    </row>
    <row r="150" spans="1:65" s="13" customFormat="1" x14ac:dyDescent="0.2">
      <c r="B150" s="156"/>
      <c r="D150" s="152" t="s">
        <v>135</v>
      </c>
      <c r="E150" s="157" t="s">
        <v>1</v>
      </c>
      <c r="F150" s="158" t="s">
        <v>150</v>
      </c>
      <c r="H150" s="157" t="s">
        <v>1</v>
      </c>
      <c r="L150" s="156"/>
      <c r="M150" s="159"/>
      <c r="N150" s="160"/>
      <c r="O150" s="160"/>
      <c r="P150" s="160"/>
      <c r="Q150" s="160"/>
      <c r="R150" s="160"/>
      <c r="S150" s="160"/>
      <c r="T150" s="161"/>
      <c r="W150" s="192"/>
      <c r="AT150" s="157" t="s">
        <v>135</v>
      </c>
      <c r="AU150" s="157" t="s">
        <v>80</v>
      </c>
      <c r="AV150" s="13" t="s">
        <v>78</v>
      </c>
      <c r="AW150" s="13" t="s">
        <v>28</v>
      </c>
      <c r="AX150" s="13" t="s">
        <v>71</v>
      </c>
      <c r="AY150" s="157" t="s">
        <v>117</v>
      </c>
    </row>
    <row r="151" spans="1:65" s="14" customFormat="1" ht="12" x14ac:dyDescent="0.2">
      <c r="B151" s="162"/>
      <c r="D151" s="152" t="s">
        <v>135</v>
      </c>
      <c r="E151" s="163" t="s">
        <v>1</v>
      </c>
      <c r="F151" s="164" t="s">
        <v>151</v>
      </c>
      <c r="H151" s="165">
        <v>53.759</v>
      </c>
      <c r="L151" s="162"/>
      <c r="M151" s="166"/>
      <c r="N151" s="167"/>
      <c r="O151" s="167"/>
      <c r="P151" s="167"/>
      <c r="Q151" s="167"/>
      <c r="R151" s="167"/>
      <c r="S151" s="167"/>
      <c r="T151" s="168"/>
      <c r="W151" s="190">
        <v>357</v>
      </c>
      <c r="AT151" s="163" t="s">
        <v>135</v>
      </c>
      <c r="AU151" s="163" t="s">
        <v>80</v>
      </c>
      <c r="AV151" s="14" t="s">
        <v>80</v>
      </c>
      <c r="AW151" s="14" t="s">
        <v>28</v>
      </c>
      <c r="AX151" s="14" t="s">
        <v>71</v>
      </c>
      <c r="AY151" s="163" t="s">
        <v>117</v>
      </c>
    </row>
    <row r="152" spans="1:65" s="15" customFormat="1" x14ac:dyDescent="0.2">
      <c r="B152" s="169"/>
      <c r="D152" s="152" t="s">
        <v>135</v>
      </c>
      <c r="E152" s="170" t="s">
        <v>1</v>
      </c>
      <c r="F152" s="171" t="s">
        <v>138</v>
      </c>
      <c r="H152" s="172">
        <v>53.759</v>
      </c>
      <c r="L152" s="169"/>
      <c r="M152" s="173"/>
      <c r="N152" s="174"/>
      <c r="O152" s="174"/>
      <c r="P152" s="174"/>
      <c r="Q152" s="174"/>
      <c r="R152" s="174"/>
      <c r="S152" s="174"/>
      <c r="T152" s="175"/>
      <c r="W152" s="191"/>
      <c r="AT152" s="170" t="s">
        <v>135</v>
      </c>
      <c r="AU152" s="170" t="s">
        <v>80</v>
      </c>
      <c r="AV152" s="15" t="s">
        <v>124</v>
      </c>
      <c r="AW152" s="15" t="s">
        <v>28</v>
      </c>
      <c r="AX152" s="15" t="s">
        <v>78</v>
      </c>
      <c r="AY152" s="170" t="s">
        <v>117</v>
      </c>
    </row>
    <row r="153" spans="1:65" s="2" customFormat="1" ht="21.75" customHeight="1" x14ac:dyDescent="0.2">
      <c r="A153" s="29"/>
      <c r="B153" s="138"/>
      <c r="C153" s="139" t="s">
        <v>134</v>
      </c>
      <c r="D153" s="139" t="s">
        <v>120</v>
      </c>
      <c r="E153" s="140" t="s">
        <v>152</v>
      </c>
      <c r="F153" s="141" t="s">
        <v>153</v>
      </c>
      <c r="G153" s="142" t="s">
        <v>123</v>
      </c>
      <c r="H153" s="143">
        <v>4</v>
      </c>
      <c r="I153" s="144"/>
      <c r="J153" s="144">
        <f>ROUND(I153*H153,2)</f>
        <v>0</v>
      </c>
      <c r="K153" s="145"/>
      <c r="L153" s="30"/>
      <c r="M153" s="146" t="s">
        <v>1</v>
      </c>
      <c r="N153" s="147" t="s">
        <v>36</v>
      </c>
      <c r="O153" s="148">
        <v>0.443</v>
      </c>
      <c r="P153" s="148">
        <f>O153*H153</f>
        <v>1.772</v>
      </c>
      <c r="Q153" s="148">
        <v>0.11169999999999999</v>
      </c>
      <c r="R153" s="148">
        <f>Q153*H153</f>
        <v>0.44679999999999997</v>
      </c>
      <c r="S153" s="148">
        <v>0</v>
      </c>
      <c r="T153" s="149">
        <f>S153*H153</f>
        <v>0</v>
      </c>
      <c r="U153" s="29"/>
      <c r="V153" s="29"/>
      <c r="W153" s="192"/>
      <c r="X153" s="29"/>
      <c r="Y153" s="29"/>
      <c r="Z153" s="29"/>
      <c r="AA153" s="29"/>
      <c r="AB153" s="29"/>
      <c r="AC153" s="29"/>
      <c r="AD153" s="29"/>
      <c r="AE153" s="29"/>
      <c r="AR153" s="150" t="s">
        <v>124</v>
      </c>
      <c r="AT153" s="150" t="s">
        <v>120</v>
      </c>
      <c r="AU153" s="150" t="s">
        <v>80</v>
      </c>
      <c r="AY153" s="17" t="s">
        <v>117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7" t="s">
        <v>78</v>
      </c>
      <c r="BK153" s="151">
        <f>ROUND(I153*H153,2)</f>
        <v>0</v>
      </c>
      <c r="BL153" s="17" t="s">
        <v>124</v>
      </c>
      <c r="BM153" s="150" t="s">
        <v>154</v>
      </c>
    </row>
    <row r="154" spans="1:65" s="2" customFormat="1" x14ac:dyDescent="0.2">
      <c r="A154" s="29"/>
      <c r="B154" s="30"/>
      <c r="C154" s="29"/>
      <c r="D154" s="152" t="s">
        <v>125</v>
      </c>
      <c r="E154" s="29"/>
      <c r="F154" s="153" t="s">
        <v>153</v>
      </c>
      <c r="G154" s="29"/>
      <c r="H154" s="29"/>
      <c r="I154" s="29"/>
      <c r="J154" s="29"/>
      <c r="K154" s="29"/>
      <c r="L154" s="30"/>
      <c r="M154" s="154"/>
      <c r="N154" s="155"/>
      <c r="O154" s="55"/>
      <c r="P154" s="55"/>
      <c r="Q154" s="55"/>
      <c r="R154" s="55"/>
      <c r="S154" s="55"/>
      <c r="T154" s="56"/>
      <c r="U154" s="29"/>
      <c r="V154" s="29"/>
      <c r="W154" s="193"/>
      <c r="X154" s="29"/>
      <c r="Y154" s="29"/>
      <c r="Z154" s="29"/>
      <c r="AA154" s="29"/>
      <c r="AB154" s="29"/>
      <c r="AC154" s="29"/>
      <c r="AD154" s="29"/>
      <c r="AE154" s="29"/>
      <c r="AT154" s="17" t="s">
        <v>125</v>
      </c>
      <c r="AU154" s="17" t="s">
        <v>80</v>
      </c>
    </row>
    <row r="155" spans="1:65" s="12" customFormat="1" ht="22.9" customHeight="1" x14ac:dyDescent="0.2">
      <c r="B155" s="126"/>
      <c r="D155" s="127" t="s">
        <v>70</v>
      </c>
      <c r="E155" s="136" t="s">
        <v>155</v>
      </c>
      <c r="F155" s="136" t="s">
        <v>156</v>
      </c>
      <c r="J155" s="137">
        <f>BK155</f>
        <v>0</v>
      </c>
      <c r="L155" s="126"/>
      <c r="M155" s="130"/>
      <c r="N155" s="131"/>
      <c r="O155" s="131"/>
      <c r="P155" s="132">
        <f>SUM(P156:P177)</f>
        <v>20.5123</v>
      </c>
      <c r="Q155" s="131"/>
      <c r="R155" s="132">
        <f>SUM(R156:R177)</f>
        <v>4.9839999999999997E-3</v>
      </c>
      <c r="S155" s="131"/>
      <c r="T155" s="133">
        <f>SUM(T156:T177)</f>
        <v>2.0040000000000004</v>
      </c>
      <c r="W155" s="190">
        <v>62.5</v>
      </c>
      <c r="AR155" s="127" t="s">
        <v>78</v>
      </c>
      <c r="AT155" s="134" t="s">
        <v>70</v>
      </c>
      <c r="AU155" s="134" t="s">
        <v>78</v>
      </c>
      <c r="AY155" s="127" t="s">
        <v>117</v>
      </c>
      <c r="BK155" s="135">
        <f>SUM(BK156:BK177)</f>
        <v>0</v>
      </c>
    </row>
    <row r="156" spans="1:65" s="2" customFormat="1" ht="33" customHeight="1" x14ac:dyDescent="0.2">
      <c r="A156" s="29"/>
      <c r="B156" s="138"/>
      <c r="C156" s="139" t="s">
        <v>155</v>
      </c>
      <c r="D156" s="139" t="s">
        <v>120</v>
      </c>
      <c r="E156" s="140" t="s">
        <v>157</v>
      </c>
      <c r="F156" s="141" t="s">
        <v>158</v>
      </c>
      <c r="G156" s="142" t="s">
        <v>123</v>
      </c>
      <c r="H156" s="143">
        <v>30</v>
      </c>
      <c r="I156" s="144"/>
      <c r="J156" s="144">
        <f>ROUND(I156*H156,2)</f>
        <v>0</v>
      </c>
      <c r="K156" s="145"/>
      <c r="L156" s="30"/>
      <c r="M156" s="146" t="s">
        <v>1</v>
      </c>
      <c r="N156" s="147" t="s">
        <v>36</v>
      </c>
      <c r="O156" s="148">
        <v>0.105</v>
      </c>
      <c r="P156" s="148">
        <f>O156*H156</f>
        <v>3.15</v>
      </c>
      <c r="Q156" s="148">
        <v>1.2999999999999999E-4</v>
      </c>
      <c r="R156" s="148">
        <f>Q156*H156</f>
        <v>3.8999999999999998E-3</v>
      </c>
      <c r="S156" s="148">
        <v>0</v>
      </c>
      <c r="T156" s="149">
        <f>S156*H156</f>
        <v>0</v>
      </c>
      <c r="U156" s="29"/>
      <c r="V156" s="29"/>
      <c r="W156" s="190">
        <v>130</v>
      </c>
      <c r="X156" s="29"/>
      <c r="Y156" s="29"/>
      <c r="Z156" s="29"/>
      <c r="AA156" s="29"/>
      <c r="AB156" s="29"/>
      <c r="AC156" s="29"/>
      <c r="AD156" s="29"/>
      <c r="AE156" s="29"/>
      <c r="AR156" s="150" t="s">
        <v>124</v>
      </c>
      <c r="AT156" s="150" t="s">
        <v>120</v>
      </c>
      <c r="AU156" s="150" t="s">
        <v>80</v>
      </c>
      <c r="AY156" s="17" t="s">
        <v>117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7" t="s">
        <v>78</v>
      </c>
      <c r="BK156" s="151">
        <f>ROUND(I156*H156,2)</f>
        <v>0</v>
      </c>
      <c r="BL156" s="17" t="s">
        <v>124</v>
      </c>
      <c r="BM156" s="150" t="s">
        <v>159</v>
      </c>
    </row>
    <row r="157" spans="1:65" s="2" customFormat="1" ht="19.5" x14ac:dyDescent="0.2">
      <c r="A157" s="29"/>
      <c r="B157" s="30"/>
      <c r="C157" s="29"/>
      <c r="D157" s="152" t="s">
        <v>125</v>
      </c>
      <c r="E157" s="29"/>
      <c r="F157" s="153" t="s">
        <v>158</v>
      </c>
      <c r="G157" s="29"/>
      <c r="H157" s="29"/>
      <c r="I157" s="29"/>
      <c r="J157" s="29"/>
      <c r="K157" s="29"/>
      <c r="L157" s="30"/>
      <c r="M157" s="154"/>
      <c r="N157" s="155"/>
      <c r="O157" s="55"/>
      <c r="P157" s="55"/>
      <c r="Q157" s="55"/>
      <c r="R157" s="55"/>
      <c r="S157" s="55"/>
      <c r="T157" s="56"/>
      <c r="U157" s="29"/>
      <c r="V157" s="29"/>
      <c r="W157" s="190">
        <v>123</v>
      </c>
      <c r="X157" s="29"/>
      <c r="Y157" s="29"/>
      <c r="Z157" s="29"/>
      <c r="AA157" s="29"/>
      <c r="AB157" s="29"/>
      <c r="AC157" s="29"/>
      <c r="AD157" s="29"/>
      <c r="AE157" s="29"/>
      <c r="AT157" s="17" t="s">
        <v>125</v>
      </c>
      <c r="AU157" s="17" t="s">
        <v>80</v>
      </c>
    </row>
    <row r="158" spans="1:65" s="2" customFormat="1" ht="24.2" customHeight="1" x14ac:dyDescent="0.2">
      <c r="A158" s="29"/>
      <c r="B158" s="138"/>
      <c r="C158" s="139" t="s">
        <v>142</v>
      </c>
      <c r="D158" s="139" t="s">
        <v>120</v>
      </c>
      <c r="E158" s="140" t="s">
        <v>160</v>
      </c>
      <c r="F158" s="141" t="s">
        <v>161</v>
      </c>
      <c r="G158" s="142" t="s">
        <v>123</v>
      </c>
      <c r="H158" s="143">
        <v>27.1</v>
      </c>
      <c r="I158" s="144"/>
      <c r="J158" s="144">
        <f>ROUND(I158*H158,2)</f>
        <v>0</v>
      </c>
      <c r="K158" s="145"/>
      <c r="L158" s="30"/>
      <c r="M158" s="146" t="s">
        <v>1</v>
      </c>
      <c r="N158" s="147" t="s">
        <v>36</v>
      </c>
      <c r="O158" s="148">
        <v>0.308</v>
      </c>
      <c r="P158" s="148">
        <f>O158*H158</f>
        <v>8.3468</v>
      </c>
      <c r="Q158" s="148">
        <v>4.0000000000000003E-5</v>
      </c>
      <c r="R158" s="148">
        <f>Q158*H158</f>
        <v>1.0840000000000001E-3</v>
      </c>
      <c r="S158" s="148">
        <v>0</v>
      </c>
      <c r="T158" s="149">
        <f>S158*H158</f>
        <v>0</v>
      </c>
      <c r="U158" s="29"/>
      <c r="V158" s="29"/>
      <c r="W158" s="192"/>
      <c r="X158" s="29"/>
      <c r="Y158" s="29"/>
      <c r="Z158" s="29"/>
      <c r="AA158" s="29"/>
      <c r="AB158" s="29"/>
      <c r="AC158" s="29"/>
      <c r="AD158" s="29"/>
      <c r="AE158" s="29"/>
      <c r="AR158" s="150" t="s">
        <v>124</v>
      </c>
      <c r="AT158" s="150" t="s">
        <v>120</v>
      </c>
      <c r="AU158" s="150" t="s">
        <v>80</v>
      </c>
      <c r="AY158" s="17" t="s">
        <v>117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7" t="s">
        <v>78</v>
      </c>
      <c r="BK158" s="151">
        <f>ROUND(I158*H158,2)</f>
        <v>0</v>
      </c>
      <c r="BL158" s="17" t="s">
        <v>124</v>
      </c>
      <c r="BM158" s="150" t="s">
        <v>162</v>
      </c>
    </row>
    <row r="159" spans="1:65" s="2" customFormat="1" ht="19.5" x14ac:dyDescent="0.2">
      <c r="A159" s="29"/>
      <c r="B159" s="30"/>
      <c r="C159" s="29"/>
      <c r="D159" s="152" t="s">
        <v>125</v>
      </c>
      <c r="E159" s="29"/>
      <c r="F159" s="153" t="s">
        <v>161</v>
      </c>
      <c r="G159" s="29"/>
      <c r="H159" s="29"/>
      <c r="I159" s="29"/>
      <c r="J159" s="29"/>
      <c r="K159" s="29"/>
      <c r="L159" s="30"/>
      <c r="M159" s="154"/>
      <c r="N159" s="155"/>
      <c r="O159" s="55"/>
      <c r="P159" s="55"/>
      <c r="Q159" s="55"/>
      <c r="R159" s="55"/>
      <c r="S159" s="55"/>
      <c r="T159" s="56"/>
      <c r="U159" s="29"/>
      <c r="V159" s="29"/>
      <c r="W159" s="190">
        <v>169</v>
      </c>
      <c r="X159" s="29"/>
      <c r="Y159" s="29"/>
      <c r="Z159" s="29"/>
      <c r="AA159" s="29"/>
      <c r="AB159" s="29"/>
      <c r="AC159" s="29"/>
      <c r="AD159" s="29"/>
      <c r="AE159" s="29"/>
      <c r="AT159" s="17" t="s">
        <v>125</v>
      </c>
      <c r="AU159" s="17" t="s">
        <v>80</v>
      </c>
    </row>
    <row r="160" spans="1:65" s="2" customFormat="1" ht="21.75" customHeight="1" x14ac:dyDescent="0.2">
      <c r="A160" s="29"/>
      <c r="B160" s="138"/>
      <c r="C160" s="139" t="s">
        <v>163</v>
      </c>
      <c r="D160" s="139" t="s">
        <v>120</v>
      </c>
      <c r="E160" s="140" t="s">
        <v>164</v>
      </c>
      <c r="F160" s="141" t="s">
        <v>165</v>
      </c>
      <c r="G160" s="142" t="s">
        <v>123</v>
      </c>
      <c r="H160" s="143">
        <v>5</v>
      </c>
      <c r="I160" s="144"/>
      <c r="J160" s="144">
        <f>ROUND(I160*H160,2)</f>
        <v>0</v>
      </c>
      <c r="K160" s="145"/>
      <c r="L160" s="30"/>
      <c r="M160" s="146" t="s">
        <v>1</v>
      </c>
      <c r="N160" s="147" t="s">
        <v>36</v>
      </c>
      <c r="O160" s="148">
        <v>0.245</v>
      </c>
      <c r="P160" s="148">
        <f>O160*H160</f>
        <v>1.2250000000000001</v>
      </c>
      <c r="Q160" s="148">
        <v>0</v>
      </c>
      <c r="R160" s="148">
        <f>Q160*H160</f>
        <v>0</v>
      </c>
      <c r="S160" s="148">
        <v>0.13100000000000001</v>
      </c>
      <c r="T160" s="149">
        <f>S160*H160</f>
        <v>0.65500000000000003</v>
      </c>
      <c r="U160" s="29"/>
      <c r="V160" s="29"/>
      <c r="W160" s="191"/>
      <c r="X160" s="29"/>
      <c r="Y160" s="29"/>
      <c r="Z160" s="29"/>
      <c r="AA160" s="29"/>
      <c r="AB160" s="29"/>
      <c r="AC160" s="29"/>
      <c r="AD160" s="29"/>
      <c r="AE160" s="29"/>
      <c r="AR160" s="150" t="s">
        <v>124</v>
      </c>
      <c r="AT160" s="150" t="s">
        <v>120</v>
      </c>
      <c r="AU160" s="150" t="s">
        <v>80</v>
      </c>
      <c r="AY160" s="17" t="s">
        <v>117</v>
      </c>
      <c r="BE160" s="151">
        <f>IF(N160="základní",J160,0)</f>
        <v>0</v>
      </c>
      <c r="BF160" s="151">
        <f>IF(N160="snížená",J160,0)</f>
        <v>0</v>
      </c>
      <c r="BG160" s="151">
        <f>IF(N160="zákl. přenesená",J160,0)</f>
        <v>0</v>
      </c>
      <c r="BH160" s="151">
        <f>IF(N160="sníž. přenesená",J160,0)</f>
        <v>0</v>
      </c>
      <c r="BI160" s="151">
        <f>IF(N160="nulová",J160,0)</f>
        <v>0</v>
      </c>
      <c r="BJ160" s="17" t="s">
        <v>78</v>
      </c>
      <c r="BK160" s="151">
        <f>ROUND(I160*H160,2)</f>
        <v>0</v>
      </c>
      <c r="BL160" s="17" t="s">
        <v>124</v>
      </c>
      <c r="BM160" s="150" t="s">
        <v>166</v>
      </c>
    </row>
    <row r="161" spans="1:65" s="2" customFormat="1" x14ac:dyDescent="0.2">
      <c r="A161" s="29"/>
      <c r="B161" s="30"/>
      <c r="C161" s="29"/>
      <c r="D161" s="152" t="s">
        <v>125</v>
      </c>
      <c r="E161" s="29"/>
      <c r="F161" s="153" t="s">
        <v>165</v>
      </c>
      <c r="G161" s="29"/>
      <c r="H161" s="29"/>
      <c r="I161" s="29"/>
      <c r="J161" s="29"/>
      <c r="K161" s="29"/>
      <c r="L161" s="30"/>
      <c r="M161" s="154"/>
      <c r="N161" s="155"/>
      <c r="O161" s="55"/>
      <c r="P161" s="55"/>
      <c r="Q161" s="55"/>
      <c r="R161" s="55"/>
      <c r="S161" s="55"/>
      <c r="T161" s="56"/>
      <c r="U161" s="29"/>
      <c r="V161" s="29"/>
      <c r="W161" s="192"/>
      <c r="X161" s="29"/>
      <c r="Y161" s="29"/>
      <c r="Z161" s="29"/>
      <c r="AA161" s="29"/>
      <c r="AB161" s="29"/>
      <c r="AC161" s="29"/>
      <c r="AD161" s="29"/>
      <c r="AE161" s="29"/>
      <c r="AT161" s="17" t="s">
        <v>125</v>
      </c>
      <c r="AU161" s="17" t="s">
        <v>80</v>
      </c>
    </row>
    <row r="162" spans="1:65" s="2" customFormat="1" ht="24.2" customHeight="1" x14ac:dyDescent="0.2">
      <c r="A162" s="29"/>
      <c r="B162" s="138"/>
      <c r="C162" s="139" t="s">
        <v>145</v>
      </c>
      <c r="D162" s="139" t="s">
        <v>120</v>
      </c>
      <c r="E162" s="140" t="s">
        <v>167</v>
      </c>
      <c r="F162" s="141" t="s">
        <v>168</v>
      </c>
      <c r="G162" s="142" t="s">
        <v>123</v>
      </c>
      <c r="H162" s="143">
        <v>4</v>
      </c>
      <c r="I162" s="144"/>
      <c r="J162" s="144">
        <f>ROUND(I162*H162,2)</f>
        <v>0</v>
      </c>
      <c r="K162" s="145"/>
      <c r="L162" s="30"/>
      <c r="M162" s="146" t="s">
        <v>1</v>
      </c>
      <c r="N162" s="147" t="s">
        <v>36</v>
      </c>
      <c r="O162" s="148">
        <v>0.43</v>
      </c>
      <c r="P162" s="148">
        <f>O162*H162</f>
        <v>1.72</v>
      </c>
      <c r="Q162" s="148">
        <v>0</v>
      </c>
      <c r="R162" s="148">
        <f>Q162*H162</f>
        <v>0</v>
      </c>
      <c r="S162" s="148">
        <v>0.09</v>
      </c>
      <c r="T162" s="149">
        <f>S162*H162</f>
        <v>0.36</v>
      </c>
      <c r="U162" s="29"/>
      <c r="V162" s="29"/>
      <c r="W162" s="190">
        <v>369</v>
      </c>
      <c r="X162" s="29"/>
      <c r="Y162" s="29"/>
      <c r="Z162" s="29"/>
      <c r="AA162" s="29"/>
      <c r="AB162" s="29"/>
      <c r="AC162" s="29"/>
      <c r="AD162" s="29"/>
      <c r="AE162" s="29"/>
      <c r="AR162" s="150" t="s">
        <v>124</v>
      </c>
      <c r="AT162" s="150" t="s">
        <v>120</v>
      </c>
      <c r="AU162" s="150" t="s">
        <v>80</v>
      </c>
      <c r="AY162" s="17" t="s">
        <v>117</v>
      </c>
      <c r="BE162" s="151">
        <f>IF(N162="základní",J162,0)</f>
        <v>0</v>
      </c>
      <c r="BF162" s="151">
        <f>IF(N162="snížená",J162,0)</f>
        <v>0</v>
      </c>
      <c r="BG162" s="151">
        <f>IF(N162="zákl. přenesená",J162,0)</f>
        <v>0</v>
      </c>
      <c r="BH162" s="151">
        <f>IF(N162="sníž. přenesená",J162,0)</f>
        <v>0</v>
      </c>
      <c r="BI162" s="151">
        <f>IF(N162="nulová",J162,0)</f>
        <v>0</v>
      </c>
      <c r="BJ162" s="17" t="s">
        <v>78</v>
      </c>
      <c r="BK162" s="151">
        <f>ROUND(I162*H162,2)</f>
        <v>0</v>
      </c>
      <c r="BL162" s="17" t="s">
        <v>124</v>
      </c>
      <c r="BM162" s="150" t="s">
        <v>169</v>
      </c>
    </row>
    <row r="163" spans="1:65" s="2" customFormat="1" ht="19.5" x14ac:dyDescent="0.2">
      <c r="A163" s="29"/>
      <c r="B163" s="30"/>
      <c r="C163" s="29"/>
      <c r="D163" s="152" t="s">
        <v>125</v>
      </c>
      <c r="E163" s="29"/>
      <c r="F163" s="153" t="s">
        <v>168</v>
      </c>
      <c r="G163" s="29"/>
      <c r="H163" s="29"/>
      <c r="I163" s="29"/>
      <c r="J163" s="29"/>
      <c r="K163" s="29"/>
      <c r="L163" s="30"/>
      <c r="M163" s="154"/>
      <c r="N163" s="155"/>
      <c r="O163" s="55"/>
      <c r="P163" s="55"/>
      <c r="Q163" s="55"/>
      <c r="R163" s="55"/>
      <c r="S163" s="55"/>
      <c r="T163" s="56"/>
      <c r="U163" s="29"/>
      <c r="V163" s="29"/>
      <c r="W163" s="192"/>
      <c r="X163" s="29"/>
      <c r="Y163" s="29"/>
      <c r="Z163" s="29"/>
      <c r="AA163" s="29"/>
      <c r="AB163" s="29"/>
      <c r="AC163" s="29"/>
      <c r="AD163" s="29"/>
      <c r="AE163" s="29"/>
      <c r="AT163" s="17" t="s">
        <v>125</v>
      </c>
      <c r="AU163" s="17" t="s">
        <v>80</v>
      </c>
    </row>
    <row r="164" spans="1:65" s="2" customFormat="1" ht="21.75" customHeight="1" x14ac:dyDescent="0.2">
      <c r="A164" s="29"/>
      <c r="B164" s="138"/>
      <c r="C164" s="139" t="s">
        <v>170</v>
      </c>
      <c r="D164" s="139" t="s">
        <v>120</v>
      </c>
      <c r="E164" s="140" t="s">
        <v>171</v>
      </c>
      <c r="F164" s="141" t="s">
        <v>172</v>
      </c>
      <c r="G164" s="142" t="s">
        <v>173</v>
      </c>
      <c r="H164" s="143">
        <v>3</v>
      </c>
      <c r="I164" s="144"/>
      <c r="J164" s="144">
        <f>ROUND(I164*H164,2)</f>
        <v>0</v>
      </c>
      <c r="K164" s="145"/>
      <c r="L164" s="30"/>
      <c r="M164" s="146" t="s">
        <v>1</v>
      </c>
      <c r="N164" s="147" t="s">
        <v>36</v>
      </c>
      <c r="O164" s="148">
        <v>0</v>
      </c>
      <c r="P164" s="148">
        <f>O164*H164</f>
        <v>0</v>
      </c>
      <c r="Q164" s="148">
        <v>0</v>
      </c>
      <c r="R164" s="148">
        <f>Q164*H164</f>
        <v>0</v>
      </c>
      <c r="S164" s="148">
        <v>0</v>
      </c>
      <c r="T164" s="149">
        <f>S164*H164</f>
        <v>0</v>
      </c>
      <c r="U164" s="29"/>
      <c r="V164" s="29"/>
      <c r="W164" s="190">
        <v>118</v>
      </c>
      <c r="X164" s="29"/>
      <c r="Y164" s="29"/>
      <c r="Z164" s="29"/>
      <c r="AA164" s="29"/>
      <c r="AB164" s="29"/>
      <c r="AC164" s="29"/>
      <c r="AD164" s="29"/>
      <c r="AE164" s="29"/>
      <c r="AR164" s="150" t="s">
        <v>124</v>
      </c>
      <c r="AT164" s="150" t="s">
        <v>120</v>
      </c>
      <c r="AU164" s="150" t="s">
        <v>80</v>
      </c>
      <c r="AY164" s="17" t="s">
        <v>117</v>
      </c>
      <c r="BE164" s="151">
        <f>IF(N164="základní",J164,0)</f>
        <v>0</v>
      </c>
      <c r="BF164" s="151">
        <f>IF(N164="snížená",J164,0)</f>
        <v>0</v>
      </c>
      <c r="BG164" s="151">
        <f>IF(N164="zákl. přenesená",J164,0)</f>
        <v>0</v>
      </c>
      <c r="BH164" s="151">
        <f>IF(N164="sníž. přenesená",J164,0)</f>
        <v>0</v>
      </c>
      <c r="BI164" s="151">
        <f>IF(N164="nulová",J164,0)</f>
        <v>0</v>
      </c>
      <c r="BJ164" s="17" t="s">
        <v>78</v>
      </c>
      <c r="BK164" s="151">
        <f>ROUND(I164*H164,2)</f>
        <v>0</v>
      </c>
      <c r="BL164" s="17" t="s">
        <v>124</v>
      </c>
      <c r="BM164" s="150" t="s">
        <v>174</v>
      </c>
    </row>
    <row r="165" spans="1:65" s="2" customFormat="1" x14ac:dyDescent="0.2">
      <c r="A165" s="29"/>
      <c r="B165" s="30"/>
      <c r="C165" s="29"/>
      <c r="D165" s="152" t="s">
        <v>125</v>
      </c>
      <c r="E165" s="29"/>
      <c r="F165" s="153" t="s">
        <v>172</v>
      </c>
      <c r="G165" s="29"/>
      <c r="H165" s="29"/>
      <c r="I165" s="29"/>
      <c r="J165" s="29"/>
      <c r="K165" s="29"/>
      <c r="L165" s="30"/>
      <c r="M165" s="154"/>
      <c r="N165" s="155"/>
      <c r="O165" s="55"/>
      <c r="P165" s="55"/>
      <c r="Q165" s="55"/>
      <c r="R165" s="55"/>
      <c r="S165" s="55"/>
      <c r="T165" s="56"/>
      <c r="U165" s="29"/>
      <c r="V165" s="29"/>
      <c r="W165" s="191"/>
      <c r="X165" s="29"/>
      <c r="Y165" s="29"/>
      <c r="Z165" s="29"/>
      <c r="AA165" s="29"/>
      <c r="AB165" s="29"/>
      <c r="AC165" s="29"/>
      <c r="AD165" s="29"/>
      <c r="AE165" s="29"/>
      <c r="AT165" s="17" t="s">
        <v>125</v>
      </c>
      <c r="AU165" s="17" t="s">
        <v>80</v>
      </c>
    </row>
    <row r="166" spans="1:65" s="2" customFormat="1" ht="24.2" customHeight="1" x14ac:dyDescent="0.2">
      <c r="A166" s="29"/>
      <c r="B166" s="138"/>
      <c r="C166" s="139" t="s">
        <v>149</v>
      </c>
      <c r="D166" s="139" t="s">
        <v>120</v>
      </c>
      <c r="E166" s="140" t="s">
        <v>175</v>
      </c>
      <c r="F166" s="141" t="s">
        <v>176</v>
      </c>
      <c r="G166" s="142" t="s">
        <v>177</v>
      </c>
      <c r="H166" s="143">
        <v>1.5</v>
      </c>
      <c r="I166" s="144"/>
      <c r="J166" s="144">
        <f>ROUND(I166*H166,2)</f>
        <v>0</v>
      </c>
      <c r="K166" s="145"/>
      <c r="L166" s="30"/>
      <c r="M166" s="146" t="s">
        <v>1</v>
      </c>
      <c r="N166" s="147" t="s">
        <v>36</v>
      </c>
      <c r="O166" s="148">
        <v>0.30099999999999999</v>
      </c>
      <c r="P166" s="148">
        <f>O166*H166</f>
        <v>0.45150000000000001</v>
      </c>
      <c r="Q166" s="148">
        <v>0</v>
      </c>
      <c r="R166" s="148">
        <f>Q166*H166</f>
        <v>0</v>
      </c>
      <c r="S166" s="148">
        <v>1.2999999999999999E-2</v>
      </c>
      <c r="T166" s="149">
        <f>S166*H166</f>
        <v>1.95E-2</v>
      </c>
      <c r="U166" s="29"/>
      <c r="V166" s="29"/>
      <c r="W166" s="192"/>
      <c r="X166" s="29"/>
      <c r="Y166" s="29"/>
      <c r="Z166" s="29"/>
      <c r="AA166" s="29"/>
      <c r="AB166" s="29"/>
      <c r="AC166" s="29"/>
      <c r="AD166" s="29"/>
      <c r="AE166" s="29"/>
      <c r="AR166" s="150" t="s">
        <v>124</v>
      </c>
      <c r="AT166" s="150" t="s">
        <v>120</v>
      </c>
      <c r="AU166" s="150" t="s">
        <v>80</v>
      </c>
      <c r="AY166" s="17" t="s">
        <v>117</v>
      </c>
      <c r="BE166" s="151">
        <f>IF(N166="základní",J166,0)</f>
        <v>0</v>
      </c>
      <c r="BF166" s="151">
        <f>IF(N166="snížená",J166,0)</f>
        <v>0</v>
      </c>
      <c r="BG166" s="151">
        <f>IF(N166="zákl. přenesená",J166,0)</f>
        <v>0</v>
      </c>
      <c r="BH166" s="151">
        <f>IF(N166="sníž. přenesená",J166,0)</f>
        <v>0</v>
      </c>
      <c r="BI166" s="151">
        <f>IF(N166="nulová",J166,0)</f>
        <v>0</v>
      </c>
      <c r="BJ166" s="17" t="s">
        <v>78</v>
      </c>
      <c r="BK166" s="151">
        <f>ROUND(I166*H166,2)</f>
        <v>0</v>
      </c>
      <c r="BL166" s="17" t="s">
        <v>124</v>
      </c>
      <c r="BM166" s="150" t="s">
        <v>178</v>
      </c>
    </row>
    <row r="167" spans="1:65" s="2" customFormat="1" ht="12" x14ac:dyDescent="0.2">
      <c r="A167" s="29"/>
      <c r="B167" s="30"/>
      <c r="C167" s="29"/>
      <c r="D167" s="152" t="s">
        <v>125</v>
      </c>
      <c r="E167" s="29"/>
      <c r="F167" s="153" t="s">
        <v>176</v>
      </c>
      <c r="G167" s="29"/>
      <c r="H167" s="29"/>
      <c r="I167" s="29"/>
      <c r="J167" s="29"/>
      <c r="K167" s="29"/>
      <c r="L167" s="30"/>
      <c r="M167" s="154"/>
      <c r="N167" s="155"/>
      <c r="O167" s="55"/>
      <c r="P167" s="55"/>
      <c r="Q167" s="55"/>
      <c r="R167" s="55"/>
      <c r="S167" s="55"/>
      <c r="T167" s="56"/>
      <c r="U167" s="29"/>
      <c r="V167" s="29"/>
      <c r="W167" s="190">
        <v>150</v>
      </c>
      <c r="X167" s="29"/>
      <c r="Y167" s="29"/>
      <c r="Z167" s="29"/>
      <c r="AA167" s="29"/>
      <c r="AB167" s="29"/>
      <c r="AC167" s="29"/>
      <c r="AD167" s="29"/>
      <c r="AE167" s="29"/>
      <c r="AT167" s="17" t="s">
        <v>125</v>
      </c>
      <c r="AU167" s="17" t="s">
        <v>80</v>
      </c>
    </row>
    <row r="168" spans="1:65" s="13" customFormat="1" x14ac:dyDescent="0.2">
      <c r="B168" s="156"/>
      <c r="D168" s="152" t="s">
        <v>135</v>
      </c>
      <c r="E168" s="157" t="s">
        <v>1</v>
      </c>
      <c r="F168" s="158" t="s">
        <v>179</v>
      </c>
      <c r="H168" s="157" t="s">
        <v>1</v>
      </c>
      <c r="L168" s="156"/>
      <c r="M168" s="159"/>
      <c r="N168" s="160"/>
      <c r="O168" s="160"/>
      <c r="P168" s="160"/>
      <c r="Q168" s="160"/>
      <c r="R168" s="160"/>
      <c r="S168" s="160"/>
      <c r="T168" s="161"/>
      <c r="W168" s="191"/>
      <c r="AT168" s="157" t="s">
        <v>135</v>
      </c>
      <c r="AU168" s="157" t="s">
        <v>80</v>
      </c>
      <c r="AV168" s="13" t="s">
        <v>78</v>
      </c>
      <c r="AW168" s="13" t="s">
        <v>28</v>
      </c>
      <c r="AX168" s="13" t="s">
        <v>71</v>
      </c>
      <c r="AY168" s="157" t="s">
        <v>117</v>
      </c>
    </row>
    <row r="169" spans="1:65" s="14" customFormat="1" x14ac:dyDescent="0.2">
      <c r="B169" s="162"/>
      <c r="D169" s="152" t="s">
        <v>135</v>
      </c>
      <c r="E169" s="163" t="s">
        <v>1</v>
      </c>
      <c r="F169" s="164" t="s">
        <v>180</v>
      </c>
      <c r="H169" s="165">
        <v>1.5</v>
      </c>
      <c r="L169" s="162"/>
      <c r="M169" s="166"/>
      <c r="N169" s="167"/>
      <c r="O169" s="167"/>
      <c r="P169" s="167"/>
      <c r="Q169" s="167"/>
      <c r="R169" s="167"/>
      <c r="S169" s="167"/>
      <c r="T169" s="168"/>
      <c r="W169" s="192"/>
      <c r="AT169" s="163" t="s">
        <v>135</v>
      </c>
      <c r="AU169" s="163" t="s">
        <v>80</v>
      </c>
      <c r="AV169" s="14" t="s">
        <v>80</v>
      </c>
      <c r="AW169" s="14" t="s">
        <v>28</v>
      </c>
      <c r="AX169" s="14" t="s">
        <v>71</v>
      </c>
      <c r="AY169" s="163" t="s">
        <v>117</v>
      </c>
    </row>
    <row r="170" spans="1:65" s="15" customFormat="1" ht="12" x14ac:dyDescent="0.2">
      <c r="B170" s="169"/>
      <c r="D170" s="152" t="s">
        <v>135</v>
      </c>
      <c r="E170" s="170" t="s">
        <v>1</v>
      </c>
      <c r="F170" s="171" t="s">
        <v>138</v>
      </c>
      <c r="H170" s="172">
        <v>1.5</v>
      </c>
      <c r="L170" s="169"/>
      <c r="M170" s="173"/>
      <c r="N170" s="174"/>
      <c r="O170" s="174"/>
      <c r="P170" s="174"/>
      <c r="Q170" s="174"/>
      <c r="R170" s="174"/>
      <c r="S170" s="174"/>
      <c r="T170" s="175"/>
      <c r="W170" s="190">
        <v>118</v>
      </c>
      <c r="AT170" s="170" t="s">
        <v>135</v>
      </c>
      <c r="AU170" s="170" t="s">
        <v>80</v>
      </c>
      <c r="AV170" s="15" t="s">
        <v>124</v>
      </c>
      <c r="AW170" s="15" t="s">
        <v>28</v>
      </c>
      <c r="AX170" s="15" t="s">
        <v>78</v>
      </c>
      <c r="AY170" s="170" t="s">
        <v>117</v>
      </c>
    </row>
    <row r="171" spans="1:65" s="2" customFormat="1" ht="24.2" customHeight="1" x14ac:dyDescent="0.2">
      <c r="A171" s="29"/>
      <c r="B171" s="138"/>
      <c r="C171" s="139" t="s">
        <v>8</v>
      </c>
      <c r="D171" s="139" t="s">
        <v>120</v>
      </c>
      <c r="E171" s="140" t="s">
        <v>181</v>
      </c>
      <c r="F171" s="141" t="s">
        <v>182</v>
      </c>
      <c r="G171" s="142" t="s">
        <v>177</v>
      </c>
      <c r="H171" s="143">
        <v>4.5</v>
      </c>
      <c r="I171" s="144"/>
      <c r="J171" s="144">
        <f>ROUND(I171*H171,2)</f>
        <v>0</v>
      </c>
      <c r="K171" s="145"/>
      <c r="L171" s="30"/>
      <c r="M171" s="146" t="s">
        <v>1</v>
      </c>
      <c r="N171" s="147" t="s">
        <v>36</v>
      </c>
      <c r="O171" s="148">
        <v>0.38200000000000001</v>
      </c>
      <c r="P171" s="148">
        <f>O171*H171</f>
        <v>1.7190000000000001</v>
      </c>
      <c r="Q171" s="148">
        <v>0</v>
      </c>
      <c r="R171" s="148">
        <f>Q171*H171</f>
        <v>0</v>
      </c>
      <c r="S171" s="148">
        <v>1.9E-2</v>
      </c>
      <c r="T171" s="149">
        <f>S171*H171</f>
        <v>8.5499999999999993E-2</v>
      </c>
      <c r="U171" s="29"/>
      <c r="V171" s="29"/>
      <c r="W171" s="192"/>
      <c r="X171" s="29"/>
      <c r="Y171" s="29"/>
      <c r="Z171" s="29"/>
      <c r="AA171" s="29"/>
      <c r="AB171" s="29"/>
      <c r="AC171" s="29"/>
      <c r="AD171" s="29"/>
      <c r="AE171" s="29"/>
      <c r="AR171" s="150" t="s">
        <v>124</v>
      </c>
      <c r="AT171" s="150" t="s">
        <v>120</v>
      </c>
      <c r="AU171" s="150" t="s">
        <v>80</v>
      </c>
      <c r="AY171" s="17" t="s">
        <v>117</v>
      </c>
      <c r="BE171" s="151">
        <f>IF(N171="základní",J171,0)</f>
        <v>0</v>
      </c>
      <c r="BF171" s="151">
        <f>IF(N171="snížená",J171,0)</f>
        <v>0</v>
      </c>
      <c r="BG171" s="151">
        <f>IF(N171="zákl. přenesená",J171,0)</f>
        <v>0</v>
      </c>
      <c r="BH171" s="151">
        <f>IF(N171="sníž. přenesená",J171,0)</f>
        <v>0</v>
      </c>
      <c r="BI171" s="151">
        <f>IF(N171="nulová",J171,0)</f>
        <v>0</v>
      </c>
      <c r="BJ171" s="17" t="s">
        <v>78</v>
      </c>
      <c r="BK171" s="151">
        <f>ROUND(I171*H171,2)</f>
        <v>0</v>
      </c>
      <c r="BL171" s="17" t="s">
        <v>124</v>
      </c>
      <c r="BM171" s="150" t="s">
        <v>183</v>
      </c>
    </row>
    <row r="172" spans="1:65" s="2" customFormat="1" x14ac:dyDescent="0.2">
      <c r="A172" s="29"/>
      <c r="B172" s="30"/>
      <c r="C172" s="29"/>
      <c r="D172" s="152" t="s">
        <v>125</v>
      </c>
      <c r="E172" s="29"/>
      <c r="F172" s="153" t="s">
        <v>182</v>
      </c>
      <c r="G172" s="29"/>
      <c r="H172" s="29"/>
      <c r="I172" s="29"/>
      <c r="J172" s="29"/>
      <c r="K172" s="29"/>
      <c r="L172" s="30"/>
      <c r="M172" s="154"/>
      <c r="N172" s="155"/>
      <c r="O172" s="55"/>
      <c r="P172" s="55"/>
      <c r="Q172" s="55"/>
      <c r="R172" s="55"/>
      <c r="S172" s="55"/>
      <c r="T172" s="56"/>
      <c r="U172" s="29"/>
      <c r="V172" s="29"/>
      <c r="W172" s="193"/>
      <c r="X172" s="29"/>
      <c r="Y172" s="29"/>
      <c r="Z172" s="29"/>
      <c r="AA172" s="29"/>
      <c r="AB172" s="29"/>
      <c r="AC172" s="29"/>
      <c r="AD172" s="29"/>
      <c r="AE172" s="29"/>
      <c r="AT172" s="17" t="s">
        <v>125</v>
      </c>
      <c r="AU172" s="17" t="s">
        <v>80</v>
      </c>
    </row>
    <row r="173" spans="1:65" s="13" customFormat="1" ht="12" x14ac:dyDescent="0.2">
      <c r="B173" s="156"/>
      <c r="D173" s="152" t="s">
        <v>135</v>
      </c>
      <c r="E173" s="157" t="s">
        <v>1</v>
      </c>
      <c r="F173" s="158" t="s">
        <v>184</v>
      </c>
      <c r="H173" s="157" t="s">
        <v>1</v>
      </c>
      <c r="L173" s="156"/>
      <c r="M173" s="159"/>
      <c r="N173" s="160"/>
      <c r="O173" s="160"/>
      <c r="P173" s="160"/>
      <c r="Q173" s="160"/>
      <c r="R173" s="160"/>
      <c r="S173" s="160"/>
      <c r="T173" s="161"/>
      <c r="W173" s="190">
        <v>3950</v>
      </c>
      <c r="AT173" s="157" t="s">
        <v>135</v>
      </c>
      <c r="AU173" s="157" t="s">
        <v>80</v>
      </c>
      <c r="AV173" s="13" t="s">
        <v>78</v>
      </c>
      <c r="AW173" s="13" t="s">
        <v>28</v>
      </c>
      <c r="AX173" s="13" t="s">
        <v>71</v>
      </c>
      <c r="AY173" s="157" t="s">
        <v>117</v>
      </c>
    </row>
    <row r="174" spans="1:65" s="14" customFormat="1" ht="12" x14ac:dyDescent="0.2">
      <c r="B174" s="162"/>
      <c r="D174" s="152" t="s">
        <v>135</v>
      </c>
      <c r="E174" s="163" t="s">
        <v>1</v>
      </c>
      <c r="F174" s="164" t="s">
        <v>185</v>
      </c>
      <c r="H174" s="165">
        <v>4.5</v>
      </c>
      <c r="L174" s="162"/>
      <c r="M174" s="166"/>
      <c r="N174" s="167"/>
      <c r="O174" s="167"/>
      <c r="P174" s="167"/>
      <c r="Q174" s="167"/>
      <c r="R174" s="167"/>
      <c r="S174" s="167"/>
      <c r="T174" s="168"/>
      <c r="W174" s="190">
        <v>324</v>
      </c>
      <c r="AT174" s="163" t="s">
        <v>135</v>
      </c>
      <c r="AU174" s="163" t="s">
        <v>80</v>
      </c>
      <c r="AV174" s="14" t="s">
        <v>80</v>
      </c>
      <c r="AW174" s="14" t="s">
        <v>28</v>
      </c>
      <c r="AX174" s="14" t="s">
        <v>71</v>
      </c>
      <c r="AY174" s="163" t="s">
        <v>117</v>
      </c>
    </row>
    <row r="175" spans="1:65" s="15" customFormat="1" x14ac:dyDescent="0.2">
      <c r="B175" s="169"/>
      <c r="D175" s="152" t="s">
        <v>135</v>
      </c>
      <c r="E175" s="170" t="s">
        <v>1</v>
      </c>
      <c r="F175" s="171" t="s">
        <v>138</v>
      </c>
      <c r="H175" s="172">
        <v>4.5</v>
      </c>
      <c r="L175" s="169"/>
      <c r="M175" s="173"/>
      <c r="N175" s="174"/>
      <c r="O175" s="174"/>
      <c r="P175" s="174"/>
      <c r="Q175" s="174"/>
      <c r="R175" s="174"/>
      <c r="S175" s="174"/>
      <c r="T175" s="175"/>
      <c r="W175" s="192"/>
      <c r="AT175" s="170" t="s">
        <v>135</v>
      </c>
      <c r="AU175" s="170" t="s">
        <v>80</v>
      </c>
      <c r="AV175" s="15" t="s">
        <v>124</v>
      </c>
      <c r="AW175" s="15" t="s">
        <v>28</v>
      </c>
      <c r="AX175" s="15" t="s">
        <v>78</v>
      </c>
      <c r="AY175" s="170" t="s">
        <v>117</v>
      </c>
    </row>
    <row r="176" spans="1:65" s="2" customFormat="1" ht="24.2" customHeight="1" x14ac:dyDescent="0.2">
      <c r="A176" s="29"/>
      <c r="B176" s="138"/>
      <c r="C176" s="139" t="s">
        <v>154</v>
      </c>
      <c r="D176" s="139" t="s">
        <v>120</v>
      </c>
      <c r="E176" s="140" t="s">
        <v>186</v>
      </c>
      <c r="F176" s="141" t="s">
        <v>187</v>
      </c>
      <c r="G176" s="142" t="s">
        <v>123</v>
      </c>
      <c r="H176" s="143">
        <v>13</v>
      </c>
      <c r="I176" s="144"/>
      <c r="J176" s="144">
        <f>ROUND(I176*H176,2)</f>
        <v>0</v>
      </c>
      <c r="K176" s="145"/>
      <c r="L176" s="30"/>
      <c r="M176" s="146" t="s">
        <v>1</v>
      </c>
      <c r="N176" s="147" t="s">
        <v>36</v>
      </c>
      <c r="O176" s="148">
        <v>0.3</v>
      </c>
      <c r="P176" s="148">
        <f>O176*H176</f>
        <v>3.9</v>
      </c>
      <c r="Q176" s="148">
        <v>0</v>
      </c>
      <c r="R176" s="148">
        <f>Q176*H176</f>
        <v>0</v>
      </c>
      <c r="S176" s="148">
        <v>6.8000000000000005E-2</v>
      </c>
      <c r="T176" s="149">
        <f>S176*H176</f>
        <v>0.88400000000000012</v>
      </c>
      <c r="U176" s="29"/>
      <c r="V176" s="29"/>
      <c r="W176" s="193"/>
      <c r="X176" s="29"/>
      <c r="Y176" s="29"/>
      <c r="Z176" s="29"/>
      <c r="AA176" s="29"/>
      <c r="AB176" s="29"/>
      <c r="AC176" s="29"/>
      <c r="AD176" s="29"/>
      <c r="AE176" s="29"/>
      <c r="AR176" s="150" t="s">
        <v>124</v>
      </c>
      <c r="AT176" s="150" t="s">
        <v>120</v>
      </c>
      <c r="AU176" s="150" t="s">
        <v>80</v>
      </c>
      <c r="AY176" s="17" t="s">
        <v>117</v>
      </c>
      <c r="BE176" s="151">
        <f>IF(N176="základní",J176,0)</f>
        <v>0</v>
      </c>
      <c r="BF176" s="151">
        <f>IF(N176="snížená",J176,0)</f>
        <v>0</v>
      </c>
      <c r="BG176" s="151">
        <f>IF(N176="zákl. přenesená",J176,0)</f>
        <v>0</v>
      </c>
      <c r="BH176" s="151">
        <f>IF(N176="sníž. přenesená",J176,0)</f>
        <v>0</v>
      </c>
      <c r="BI176" s="151">
        <f>IF(N176="nulová",J176,0)</f>
        <v>0</v>
      </c>
      <c r="BJ176" s="17" t="s">
        <v>78</v>
      </c>
      <c r="BK176" s="151">
        <f>ROUND(I176*H176,2)</f>
        <v>0</v>
      </c>
      <c r="BL176" s="17" t="s">
        <v>124</v>
      </c>
      <c r="BM176" s="150" t="s">
        <v>188</v>
      </c>
    </row>
    <row r="177" spans="1:65" s="2" customFormat="1" ht="19.5" x14ac:dyDescent="0.2">
      <c r="A177" s="29"/>
      <c r="B177" s="30"/>
      <c r="C177" s="29"/>
      <c r="D177" s="152" t="s">
        <v>125</v>
      </c>
      <c r="E177" s="29"/>
      <c r="F177" s="153" t="s">
        <v>187</v>
      </c>
      <c r="G177" s="29"/>
      <c r="H177" s="29"/>
      <c r="I177" s="29"/>
      <c r="J177" s="29"/>
      <c r="K177" s="29"/>
      <c r="L177" s="30"/>
      <c r="M177" s="154"/>
      <c r="N177" s="155"/>
      <c r="O177" s="55"/>
      <c r="P177" s="55"/>
      <c r="Q177" s="55"/>
      <c r="R177" s="55"/>
      <c r="S177" s="55"/>
      <c r="T177" s="56"/>
      <c r="U177" s="29"/>
      <c r="V177" s="29"/>
      <c r="W177" s="190">
        <v>1940</v>
      </c>
      <c r="X177" s="29"/>
      <c r="Y177" s="29"/>
      <c r="Z177" s="29"/>
      <c r="AA177" s="29"/>
      <c r="AB177" s="29"/>
      <c r="AC177" s="29"/>
      <c r="AD177" s="29"/>
      <c r="AE177" s="29"/>
      <c r="AT177" s="17" t="s">
        <v>125</v>
      </c>
      <c r="AU177" s="17" t="s">
        <v>80</v>
      </c>
    </row>
    <row r="178" spans="1:65" s="12" customFormat="1" ht="22.9" customHeight="1" x14ac:dyDescent="0.2">
      <c r="B178" s="126"/>
      <c r="D178" s="127" t="s">
        <v>70</v>
      </c>
      <c r="E178" s="136" t="s">
        <v>189</v>
      </c>
      <c r="F178" s="136" t="s">
        <v>190</v>
      </c>
      <c r="J178" s="137">
        <f>BK178</f>
        <v>0</v>
      </c>
      <c r="L178" s="126"/>
      <c r="M178" s="130"/>
      <c r="N178" s="131"/>
      <c r="O178" s="131"/>
      <c r="P178" s="132">
        <f>SUM(P179:P182)</f>
        <v>19.703249999999997</v>
      </c>
      <c r="Q178" s="131"/>
      <c r="R178" s="132">
        <f>SUM(R179:R182)</f>
        <v>0</v>
      </c>
      <c r="S178" s="131"/>
      <c r="T178" s="133">
        <f>SUM(T179:T182)</f>
        <v>0</v>
      </c>
      <c r="W178" s="193"/>
      <c r="AR178" s="127" t="s">
        <v>78</v>
      </c>
      <c r="AT178" s="134" t="s">
        <v>70</v>
      </c>
      <c r="AU178" s="134" t="s">
        <v>78</v>
      </c>
      <c r="AY178" s="127" t="s">
        <v>117</v>
      </c>
      <c r="BK178" s="135">
        <f>SUM(BK179:BK182)</f>
        <v>0</v>
      </c>
    </row>
    <row r="179" spans="1:65" s="2" customFormat="1" ht="24.2" customHeight="1" x14ac:dyDescent="0.2">
      <c r="A179" s="29"/>
      <c r="B179" s="138"/>
      <c r="C179" s="139" t="s">
        <v>191</v>
      </c>
      <c r="D179" s="139" t="s">
        <v>120</v>
      </c>
      <c r="E179" s="140" t="s">
        <v>192</v>
      </c>
      <c r="F179" s="141" t="s">
        <v>193</v>
      </c>
      <c r="G179" s="142" t="s">
        <v>194</v>
      </c>
      <c r="H179" s="143">
        <v>1.89</v>
      </c>
      <c r="I179" s="144"/>
      <c r="J179" s="144">
        <f>ROUND(I179*H179,2)</f>
        <v>0</v>
      </c>
      <c r="K179" s="145"/>
      <c r="L179" s="30"/>
      <c r="M179" s="146" t="s">
        <v>1</v>
      </c>
      <c r="N179" s="147" t="s">
        <v>36</v>
      </c>
      <c r="O179" s="148">
        <v>10.3</v>
      </c>
      <c r="P179" s="148">
        <f>O179*H179</f>
        <v>19.466999999999999</v>
      </c>
      <c r="Q179" s="148">
        <v>0</v>
      </c>
      <c r="R179" s="148">
        <f>Q179*H179</f>
        <v>0</v>
      </c>
      <c r="S179" s="148">
        <v>0</v>
      </c>
      <c r="T179" s="149">
        <f>S179*H179</f>
        <v>0</v>
      </c>
      <c r="U179" s="29"/>
      <c r="V179" s="29"/>
      <c r="W179" s="193"/>
      <c r="X179" s="29"/>
      <c r="Y179" s="29"/>
      <c r="Z179" s="29"/>
      <c r="AA179" s="29"/>
      <c r="AB179" s="29"/>
      <c r="AC179" s="29"/>
      <c r="AD179" s="29"/>
      <c r="AE179" s="29"/>
      <c r="AR179" s="150" t="s">
        <v>124</v>
      </c>
      <c r="AT179" s="150" t="s">
        <v>120</v>
      </c>
      <c r="AU179" s="150" t="s">
        <v>80</v>
      </c>
      <c r="AY179" s="17" t="s">
        <v>117</v>
      </c>
      <c r="BE179" s="151">
        <f>IF(N179="základní",J179,0)</f>
        <v>0</v>
      </c>
      <c r="BF179" s="151">
        <f>IF(N179="snížená",J179,0)</f>
        <v>0</v>
      </c>
      <c r="BG179" s="151">
        <f>IF(N179="zákl. přenesená",J179,0)</f>
        <v>0</v>
      </c>
      <c r="BH179" s="151">
        <f>IF(N179="sníž. přenesená",J179,0)</f>
        <v>0</v>
      </c>
      <c r="BI179" s="151">
        <f>IF(N179="nulová",J179,0)</f>
        <v>0</v>
      </c>
      <c r="BJ179" s="17" t="s">
        <v>78</v>
      </c>
      <c r="BK179" s="151">
        <f>ROUND(I179*H179,2)</f>
        <v>0</v>
      </c>
      <c r="BL179" s="17" t="s">
        <v>124</v>
      </c>
      <c r="BM179" s="150" t="s">
        <v>195</v>
      </c>
    </row>
    <row r="180" spans="1:65" s="2" customFormat="1" ht="19.5" x14ac:dyDescent="0.2">
      <c r="A180" s="29"/>
      <c r="B180" s="30"/>
      <c r="C180" s="29"/>
      <c r="D180" s="152" t="s">
        <v>125</v>
      </c>
      <c r="E180" s="29"/>
      <c r="F180" s="153" t="s">
        <v>193</v>
      </c>
      <c r="G180" s="29"/>
      <c r="H180" s="29"/>
      <c r="I180" s="29"/>
      <c r="J180" s="29"/>
      <c r="K180" s="29"/>
      <c r="L180" s="30"/>
      <c r="M180" s="154"/>
      <c r="N180" s="155"/>
      <c r="O180" s="55"/>
      <c r="P180" s="55"/>
      <c r="Q180" s="55"/>
      <c r="R180" s="55"/>
      <c r="S180" s="55"/>
      <c r="T180" s="56"/>
      <c r="U180" s="29"/>
      <c r="V180" s="29"/>
      <c r="W180" s="190">
        <v>0</v>
      </c>
      <c r="X180" s="29"/>
      <c r="Y180" s="29"/>
      <c r="Z180" s="29"/>
      <c r="AA180" s="29"/>
      <c r="AB180" s="29"/>
      <c r="AC180" s="29"/>
      <c r="AD180" s="29"/>
      <c r="AE180" s="29"/>
      <c r="AT180" s="17" t="s">
        <v>125</v>
      </c>
      <c r="AU180" s="17" t="s">
        <v>80</v>
      </c>
    </row>
    <row r="181" spans="1:65" s="2" customFormat="1" ht="24.2" customHeight="1" x14ac:dyDescent="0.2">
      <c r="A181" s="29"/>
      <c r="B181" s="138"/>
      <c r="C181" s="139" t="s">
        <v>159</v>
      </c>
      <c r="D181" s="139" t="s">
        <v>120</v>
      </c>
      <c r="E181" s="140" t="s">
        <v>293</v>
      </c>
      <c r="F181" s="141" t="s">
        <v>196</v>
      </c>
      <c r="G181" s="142" t="s">
        <v>194</v>
      </c>
      <c r="H181" s="143">
        <v>1.89</v>
      </c>
      <c r="I181" s="144"/>
      <c r="J181" s="144">
        <f>ROUND(I181*H181,2)</f>
        <v>0</v>
      </c>
      <c r="K181" s="145"/>
      <c r="L181" s="30"/>
      <c r="M181" s="146" t="s">
        <v>1</v>
      </c>
      <c r="N181" s="147" t="s">
        <v>36</v>
      </c>
      <c r="O181" s="148">
        <v>0.125</v>
      </c>
      <c r="P181" s="148">
        <f>O181*H181</f>
        <v>0.23624999999999999</v>
      </c>
      <c r="Q181" s="148">
        <v>0</v>
      </c>
      <c r="R181" s="148">
        <f>Q181*H181</f>
        <v>0</v>
      </c>
      <c r="S181" s="148">
        <v>0</v>
      </c>
      <c r="T181" s="149">
        <f>S181*H181</f>
        <v>0</v>
      </c>
      <c r="U181" s="29"/>
      <c r="V181" s="29"/>
      <c r="W181" s="193"/>
      <c r="X181" s="29"/>
      <c r="Y181" s="29"/>
      <c r="Z181" s="29"/>
      <c r="AA181" s="29"/>
      <c r="AB181" s="29"/>
      <c r="AC181" s="29"/>
      <c r="AD181" s="29"/>
      <c r="AE181" s="29"/>
      <c r="AR181" s="150" t="s">
        <v>124</v>
      </c>
      <c r="AT181" s="150" t="s">
        <v>120</v>
      </c>
      <c r="AU181" s="150" t="s">
        <v>80</v>
      </c>
      <c r="AY181" s="17" t="s">
        <v>117</v>
      </c>
      <c r="BE181" s="151">
        <f>IF(N181="základní",J181,0)</f>
        <v>0</v>
      </c>
      <c r="BF181" s="151">
        <f>IF(N181="snížená",J181,0)</f>
        <v>0</v>
      </c>
      <c r="BG181" s="151">
        <f>IF(N181="zákl. přenesená",J181,0)</f>
        <v>0</v>
      </c>
      <c r="BH181" s="151">
        <f>IF(N181="sníž. přenesená",J181,0)</f>
        <v>0</v>
      </c>
      <c r="BI181" s="151">
        <f>IF(N181="nulová",J181,0)</f>
        <v>0</v>
      </c>
      <c r="BJ181" s="17" t="s">
        <v>78</v>
      </c>
      <c r="BK181" s="151">
        <f>ROUND(I181*H181,2)</f>
        <v>0</v>
      </c>
      <c r="BL181" s="17" t="s">
        <v>124</v>
      </c>
      <c r="BM181" s="150" t="s">
        <v>197</v>
      </c>
    </row>
    <row r="182" spans="1:65" s="2" customFormat="1" ht="19.5" x14ac:dyDescent="0.2">
      <c r="A182" s="29"/>
      <c r="B182" s="30"/>
      <c r="C182" s="29"/>
      <c r="D182" s="152" t="s">
        <v>125</v>
      </c>
      <c r="E182" s="29"/>
      <c r="F182" s="153" t="s">
        <v>196</v>
      </c>
      <c r="G182" s="29"/>
      <c r="H182" s="29"/>
      <c r="I182" s="29"/>
      <c r="J182" s="29"/>
      <c r="K182" s="29"/>
      <c r="L182" s="30"/>
      <c r="M182" s="154"/>
      <c r="N182" s="155"/>
      <c r="O182" s="55"/>
      <c r="P182" s="55"/>
      <c r="Q182" s="55"/>
      <c r="R182" s="55"/>
      <c r="S182" s="55"/>
      <c r="T182" s="56"/>
      <c r="U182" s="29"/>
      <c r="V182" s="29"/>
      <c r="W182" s="190">
        <v>800</v>
      </c>
      <c r="X182" s="29"/>
      <c r="Y182" s="29"/>
      <c r="Z182" s="29"/>
      <c r="AA182" s="29"/>
      <c r="AB182" s="29"/>
      <c r="AC182" s="29"/>
      <c r="AD182" s="29"/>
      <c r="AE182" s="29"/>
      <c r="AT182" s="17" t="s">
        <v>125</v>
      </c>
      <c r="AU182" s="17" t="s">
        <v>80</v>
      </c>
    </row>
    <row r="183" spans="1:65" s="12" customFormat="1" ht="22.9" customHeight="1" x14ac:dyDescent="0.2">
      <c r="B183" s="126"/>
      <c r="D183" s="127" t="s">
        <v>70</v>
      </c>
      <c r="E183" s="136" t="s">
        <v>198</v>
      </c>
      <c r="F183" s="136" t="s">
        <v>199</v>
      </c>
      <c r="J183" s="137">
        <f>BK183</f>
        <v>0</v>
      </c>
      <c r="L183" s="126"/>
      <c r="M183" s="130"/>
      <c r="N183" s="131"/>
      <c r="O183" s="131"/>
      <c r="P183" s="132">
        <f>SUM(P184:P185)</f>
        <v>5.9652999999999992</v>
      </c>
      <c r="Q183" s="131"/>
      <c r="R183" s="132">
        <f>SUM(R184:R185)</f>
        <v>0</v>
      </c>
      <c r="S183" s="131"/>
      <c r="T183" s="133">
        <f>SUM(T184:T185)</f>
        <v>0</v>
      </c>
      <c r="W183" s="191"/>
      <c r="AR183" s="127" t="s">
        <v>78</v>
      </c>
      <c r="AT183" s="134" t="s">
        <v>70</v>
      </c>
      <c r="AU183" s="134" t="s">
        <v>78</v>
      </c>
      <c r="AY183" s="127" t="s">
        <v>117</v>
      </c>
      <c r="BK183" s="135">
        <f>SUM(BK184:BK185)</f>
        <v>0</v>
      </c>
    </row>
    <row r="184" spans="1:65" s="2" customFormat="1" ht="16.5" customHeight="1" x14ac:dyDescent="0.2">
      <c r="A184" s="29"/>
      <c r="B184" s="138"/>
      <c r="C184" s="139" t="s">
        <v>200</v>
      </c>
      <c r="D184" s="139" t="s">
        <v>120</v>
      </c>
      <c r="E184" s="140" t="s">
        <v>201</v>
      </c>
      <c r="F184" s="141" t="s">
        <v>202</v>
      </c>
      <c r="G184" s="142" t="s">
        <v>194</v>
      </c>
      <c r="H184" s="143">
        <v>1.21</v>
      </c>
      <c r="I184" s="144"/>
      <c r="J184" s="144">
        <f>ROUND(I184*H184,2)</f>
        <v>0</v>
      </c>
      <c r="K184" s="145"/>
      <c r="L184" s="30"/>
      <c r="M184" s="146" t="s">
        <v>1</v>
      </c>
      <c r="N184" s="147" t="s">
        <v>36</v>
      </c>
      <c r="O184" s="148">
        <v>4.93</v>
      </c>
      <c r="P184" s="148">
        <f>O184*H184</f>
        <v>5.9652999999999992</v>
      </c>
      <c r="Q184" s="148">
        <v>0</v>
      </c>
      <c r="R184" s="148">
        <f>Q184*H184</f>
        <v>0</v>
      </c>
      <c r="S184" s="148">
        <v>0</v>
      </c>
      <c r="T184" s="149">
        <f>S184*H184</f>
        <v>0</v>
      </c>
      <c r="U184" s="29"/>
      <c r="V184" s="29"/>
      <c r="W184" s="192"/>
      <c r="X184" s="29"/>
      <c r="Y184" s="29"/>
      <c r="Z184" s="29"/>
      <c r="AA184" s="29"/>
      <c r="AB184" s="29"/>
      <c r="AC184" s="29"/>
      <c r="AD184" s="29"/>
      <c r="AE184" s="29"/>
      <c r="AR184" s="150" t="s">
        <v>124</v>
      </c>
      <c r="AT184" s="150" t="s">
        <v>120</v>
      </c>
      <c r="AU184" s="150" t="s">
        <v>80</v>
      </c>
      <c r="AY184" s="17" t="s">
        <v>117</v>
      </c>
      <c r="BE184" s="151">
        <f>IF(N184="základní",J184,0)</f>
        <v>0</v>
      </c>
      <c r="BF184" s="151">
        <f>IF(N184="snížená",J184,0)</f>
        <v>0</v>
      </c>
      <c r="BG184" s="151">
        <f>IF(N184="zákl. přenesená",J184,0)</f>
        <v>0</v>
      </c>
      <c r="BH184" s="151">
        <f>IF(N184="sníž. přenesená",J184,0)</f>
        <v>0</v>
      </c>
      <c r="BI184" s="151">
        <f>IF(N184="nulová",J184,0)</f>
        <v>0</v>
      </c>
      <c r="BJ184" s="17" t="s">
        <v>78</v>
      </c>
      <c r="BK184" s="151">
        <f>ROUND(I184*H184,2)</f>
        <v>0</v>
      </c>
      <c r="BL184" s="17" t="s">
        <v>124</v>
      </c>
      <c r="BM184" s="150" t="s">
        <v>203</v>
      </c>
    </row>
    <row r="185" spans="1:65" s="2" customFormat="1" ht="12" x14ac:dyDescent="0.2">
      <c r="A185" s="29"/>
      <c r="B185" s="30"/>
      <c r="C185" s="29"/>
      <c r="D185" s="152" t="s">
        <v>125</v>
      </c>
      <c r="E185" s="29"/>
      <c r="F185" s="153" t="s">
        <v>202</v>
      </c>
      <c r="G185" s="29"/>
      <c r="H185" s="29"/>
      <c r="I185" s="29"/>
      <c r="J185" s="29"/>
      <c r="K185" s="29"/>
      <c r="L185" s="30"/>
      <c r="M185" s="154"/>
      <c r="N185" s="155"/>
      <c r="O185" s="55"/>
      <c r="P185" s="55"/>
      <c r="Q185" s="55"/>
      <c r="R185" s="55"/>
      <c r="S185" s="55"/>
      <c r="T185" s="56"/>
      <c r="U185" s="29"/>
      <c r="V185" s="29"/>
      <c r="W185" s="190">
        <v>3.42</v>
      </c>
      <c r="X185" s="29"/>
      <c r="Y185" s="29"/>
      <c r="Z185" s="29"/>
      <c r="AA185" s="29"/>
      <c r="AB185" s="29"/>
      <c r="AC185" s="29"/>
      <c r="AD185" s="29"/>
      <c r="AE185" s="29"/>
      <c r="AT185" s="17" t="s">
        <v>125</v>
      </c>
      <c r="AU185" s="17" t="s">
        <v>80</v>
      </c>
    </row>
    <row r="186" spans="1:65" s="12" customFormat="1" ht="51" customHeight="1" x14ac:dyDescent="0.2">
      <c r="B186" s="126"/>
      <c r="D186" s="127" t="s">
        <v>70</v>
      </c>
      <c r="E186" s="128" t="s">
        <v>204</v>
      </c>
      <c r="F186" s="128" t="s">
        <v>205</v>
      </c>
      <c r="J186" s="129">
        <f>J187+J195+J202+J218</f>
        <v>0</v>
      </c>
      <c r="L186" s="126"/>
      <c r="M186" s="130"/>
      <c r="N186" s="131"/>
      <c r="O186" s="131"/>
      <c r="P186" s="132" t="e">
        <f>#REF!+P187+#REF!+#REF!+#REF!+#REF!+#REF!+#REF!+P195+#REF!+P202+#REF!+#REF!+P218+#REF!+#REF!</f>
        <v>#REF!</v>
      </c>
      <c r="Q186" s="131"/>
      <c r="R186" s="132" t="e">
        <f>#REF!+R187+#REF!+#REF!+#REF!+#REF!+#REF!+#REF!+R195+#REF!+R202+#REF!+#REF!+R218+#REF!+#REF!</f>
        <v>#REF!</v>
      </c>
      <c r="S186" s="131"/>
      <c r="T186" s="133" t="e">
        <f>#REF!+T187+#REF!+#REF!+#REF!+#REF!+#REF!+#REF!+T195+#REF!+T202+#REF!+#REF!+T218+#REF!+#REF!</f>
        <v>#REF!</v>
      </c>
      <c r="W186" s="193"/>
      <c r="AR186" s="127" t="s">
        <v>80</v>
      </c>
      <c r="AT186" s="134" t="s">
        <v>70</v>
      </c>
      <c r="AU186" s="134" t="s">
        <v>71</v>
      </c>
      <c r="AY186" s="127" t="s">
        <v>117</v>
      </c>
      <c r="BK186" s="135" t="e">
        <f>#REF!+BK187+#REF!+#REF!+#REF!+#REF!+#REF!+#REF!+BK195+#REF!+BK202+#REF!+#REF!+BK218+#REF!+#REF!</f>
        <v>#REF!</v>
      </c>
    </row>
    <row r="187" spans="1:65" s="12" customFormat="1" ht="22.9" customHeight="1" x14ac:dyDescent="0.2">
      <c r="B187" s="126"/>
      <c r="D187" s="127" t="s">
        <v>70</v>
      </c>
      <c r="E187" s="136" t="s">
        <v>207</v>
      </c>
      <c r="F187" s="136" t="s">
        <v>208</v>
      </c>
      <c r="J187" s="137">
        <f>BK187</f>
        <v>0</v>
      </c>
      <c r="L187" s="126"/>
      <c r="M187" s="130"/>
      <c r="N187" s="131"/>
      <c r="O187" s="131"/>
      <c r="P187" s="132">
        <f>SUM(P188:P194)</f>
        <v>0</v>
      </c>
      <c r="Q187" s="131"/>
      <c r="R187" s="132">
        <f>SUM(R188:R194)</f>
        <v>0</v>
      </c>
      <c r="S187" s="131"/>
      <c r="T187" s="133">
        <f>SUM(T188:T194)</f>
        <v>0</v>
      </c>
      <c r="W187" s="190">
        <v>47.6</v>
      </c>
      <c r="AR187" s="127" t="s">
        <v>80</v>
      </c>
      <c r="AT187" s="134" t="s">
        <v>70</v>
      </c>
      <c r="AU187" s="134" t="s">
        <v>78</v>
      </c>
      <c r="AY187" s="127" t="s">
        <v>117</v>
      </c>
      <c r="BK187" s="135">
        <f>SUM(BK188:BK194)</f>
        <v>0</v>
      </c>
    </row>
    <row r="188" spans="1:65" s="2" customFormat="1" ht="24.2" customHeight="1" x14ac:dyDescent="0.2">
      <c r="A188" s="29"/>
      <c r="B188" s="138"/>
      <c r="C188" s="139" t="s">
        <v>7</v>
      </c>
      <c r="D188" s="139" t="s">
        <v>120</v>
      </c>
      <c r="E188" s="140" t="s">
        <v>209</v>
      </c>
      <c r="F188" s="141" t="s">
        <v>210</v>
      </c>
      <c r="G188" s="142" t="s">
        <v>123</v>
      </c>
      <c r="H188" s="143">
        <v>8.2799999999999994</v>
      </c>
      <c r="I188" s="144"/>
      <c r="J188" s="144">
        <f>ROUND(I188*H188,2)</f>
        <v>0</v>
      </c>
      <c r="K188" s="145"/>
      <c r="L188" s="30"/>
      <c r="M188" s="146" t="s">
        <v>1</v>
      </c>
      <c r="N188" s="147" t="s">
        <v>36</v>
      </c>
      <c r="O188" s="148">
        <v>0</v>
      </c>
      <c r="P188" s="148">
        <f>O188*H188</f>
        <v>0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U188" s="29"/>
      <c r="V188" s="29"/>
      <c r="W188" s="191"/>
      <c r="X188" s="29"/>
      <c r="Y188" s="29"/>
      <c r="Z188" s="29"/>
      <c r="AA188" s="29"/>
      <c r="AB188" s="29"/>
      <c r="AC188" s="29"/>
      <c r="AD188" s="29"/>
      <c r="AE188" s="29"/>
      <c r="AR188" s="150" t="s">
        <v>154</v>
      </c>
      <c r="AT188" s="150" t="s">
        <v>120</v>
      </c>
      <c r="AU188" s="150" t="s">
        <v>80</v>
      </c>
      <c r="AY188" s="17" t="s">
        <v>117</v>
      </c>
      <c r="BE188" s="151">
        <f>IF(N188="základní",J188,0)</f>
        <v>0</v>
      </c>
      <c r="BF188" s="151">
        <f>IF(N188="snížená",J188,0)</f>
        <v>0</v>
      </c>
      <c r="BG188" s="151">
        <f>IF(N188="zákl. přenesená",J188,0)</f>
        <v>0</v>
      </c>
      <c r="BH188" s="151">
        <f>IF(N188="sníž. přenesená",J188,0)</f>
        <v>0</v>
      </c>
      <c r="BI188" s="151">
        <f>IF(N188="nulová",J188,0)</f>
        <v>0</v>
      </c>
      <c r="BJ188" s="17" t="s">
        <v>78</v>
      </c>
      <c r="BK188" s="151">
        <f>ROUND(I188*H188,2)</f>
        <v>0</v>
      </c>
      <c r="BL188" s="17" t="s">
        <v>154</v>
      </c>
      <c r="BM188" s="150" t="s">
        <v>211</v>
      </c>
    </row>
    <row r="189" spans="1:65" s="2" customFormat="1" ht="19.5" x14ac:dyDescent="0.2">
      <c r="A189" s="29"/>
      <c r="B189" s="30"/>
      <c r="C189" s="29"/>
      <c r="D189" s="152" t="s">
        <v>125</v>
      </c>
      <c r="E189" s="29"/>
      <c r="F189" s="153" t="s">
        <v>210</v>
      </c>
      <c r="G189" s="29"/>
      <c r="H189" s="29"/>
      <c r="I189" s="29"/>
      <c r="J189" s="29"/>
      <c r="K189" s="29"/>
      <c r="L189" s="30"/>
      <c r="M189" s="154"/>
      <c r="N189" s="155"/>
      <c r="O189" s="55"/>
      <c r="P189" s="55"/>
      <c r="Q189" s="55"/>
      <c r="R189" s="55"/>
      <c r="S189" s="55"/>
      <c r="T189" s="56"/>
      <c r="U189" s="29"/>
      <c r="V189" s="29"/>
      <c r="W189" s="192"/>
      <c r="X189" s="29"/>
      <c r="Y189" s="29"/>
      <c r="Z189" s="29"/>
      <c r="AA189" s="29"/>
      <c r="AB189" s="29"/>
      <c r="AC189" s="29"/>
      <c r="AD189" s="29"/>
      <c r="AE189" s="29"/>
      <c r="AT189" s="17" t="s">
        <v>125</v>
      </c>
      <c r="AU189" s="17" t="s">
        <v>80</v>
      </c>
    </row>
    <row r="190" spans="1:65" s="13" customFormat="1" x14ac:dyDescent="0.2">
      <c r="B190" s="156"/>
      <c r="D190" s="152" t="s">
        <v>135</v>
      </c>
      <c r="E190" s="157" t="s">
        <v>1</v>
      </c>
      <c r="F190" s="158" t="s">
        <v>212</v>
      </c>
      <c r="H190" s="157" t="s">
        <v>1</v>
      </c>
      <c r="L190" s="156"/>
      <c r="M190" s="159"/>
      <c r="N190" s="160"/>
      <c r="O190" s="160"/>
      <c r="P190" s="160"/>
      <c r="Q190" s="160"/>
      <c r="R190" s="160"/>
      <c r="S190" s="160"/>
      <c r="T190" s="161"/>
      <c r="W190" s="191"/>
      <c r="AT190" s="157" t="s">
        <v>135</v>
      </c>
      <c r="AU190" s="157" t="s">
        <v>80</v>
      </c>
      <c r="AV190" s="13" t="s">
        <v>78</v>
      </c>
      <c r="AW190" s="13" t="s">
        <v>28</v>
      </c>
      <c r="AX190" s="13" t="s">
        <v>71</v>
      </c>
      <c r="AY190" s="157" t="s">
        <v>117</v>
      </c>
    </row>
    <row r="191" spans="1:65" s="14" customFormat="1" x14ac:dyDescent="0.2">
      <c r="B191" s="162"/>
      <c r="D191" s="152" t="s">
        <v>135</v>
      </c>
      <c r="E191" s="163" t="s">
        <v>1</v>
      </c>
      <c r="F191" s="164" t="s">
        <v>213</v>
      </c>
      <c r="H191" s="165">
        <v>8.2799999999999994</v>
      </c>
      <c r="L191" s="162"/>
      <c r="M191" s="166"/>
      <c r="N191" s="167"/>
      <c r="O191" s="167"/>
      <c r="P191" s="167"/>
      <c r="Q191" s="167"/>
      <c r="R191" s="167"/>
      <c r="S191" s="167"/>
      <c r="T191" s="168"/>
      <c r="W191" s="192"/>
      <c r="AT191" s="163" t="s">
        <v>135</v>
      </c>
      <c r="AU191" s="163" t="s">
        <v>80</v>
      </c>
      <c r="AV191" s="14" t="s">
        <v>80</v>
      </c>
      <c r="AW191" s="14" t="s">
        <v>28</v>
      </c>
      <c r="AX191" s="14" t="s">
        <v>71</v>
      </c>
      <c r="AY191" s="163" t="s">
        <v>117</v>
      </c>
    </row>
    <row r="192" spans="1:65" s="15" customFormat="1" x14ac:dyDescent="0.2">
      <c r="B192" s="169"/>
      <c r="D192" s="152" t="s">
        <v>135</v>
      </c>
      <c r="E192" s="170" t="s">
        <v>1</v>
      </c>
      <c r="F192" s="171" t="s">
        <v>138</v>
      </c>
      <c r="H192" s="172">
        <v>8.2799999999999994</v>
      </c>
      <c r="L192" s="169"/>
      <c r="M192" s="173"/>
      <c r="N192" s="174"/>
      <c r="O192" s="174"/>
      <c r="P192" s="174"/>
      <c r="Q192" s="174"/>
      <c r="R192" s="174"/>
      <c r="S192" s="174"/>
      <c r="T192" s="175"/>
      <c r="W192" s="194"/>
      <c r="AT192" s="170" t="s">
        <v>135</v>
      </c>
      <c r="AU192" s="170" t="s">
        <v>80</v>
      </c>
      <c r="AV192" s="15" t="s">
        <v>124</v>
      </c>
      <c r="AW192" s="15" t="s">
        <v>28</v>
      </c>
      <c r="AX192" s="15" t="s">
        <v>78</v>
      </c>
      <c r="AY192" s="170" t="s">
        <v>117</v>
      </c>
    </row>
    <row r="193" spans="1:65" s="2" customFormat="1" ht="24.2" customHeight="1" x14ac:dyDescent="0.2">
      <c r="A193" s="29"/>
      <c r="B193" s="138"/>
      <c r="C193" s="139" t="s">
        <v>166</v>
      </c>
      <c r="D193" s="139" t="s">
        <v>120</v>
      </c>
      <c r="E193" s="140" t="s">
        <v>214</v>
      </c>
      <c r="F193" s="141" t="s">
        <v>215</v>
      </c>
      <c r="G193" s="142" t="s">
        <v>216</v>
      </c>
      <c r="H193" s="143">
        <v>62.1</v>
      </c>
      <c r="I193" s="144"/>
      <c r="J193" s="144">
        <f>ROUND(I193*H193,2)</f>
        <v>0</v>
      </c>
      <c r="K193" s="145"/>
      <c r="L193" s="30"/>
      <c r="M193" s="146" t="s">
        <v>1</v>
      </c>
      <c r="N193" s="147" t="s">
        <v>36</v>
      </c>
      <c r="O193" s="148">
        <v>0</v>
      </c>
      <c r="P193" s="148">
        <f>O193*H193</f>
        <v>0</v>
      </c>
      <c r="Q193" s="148">
        <v>0</v>
      </c>
      <c r="R193" s="148">
        <f>Q193*H193</f>
        <v>0</v>
      </c>
      <c r="S193" s="148">
        <v>0</v>
      </c>
      <c r="T193" s="149">
        <f>S193*H193</f>
        <v>0</v>
      </c>
      <c r="U193" s="29"/>
      <c r="V193" s="29"/>
      <c r="W193" s="195">
        <v>139.46</v>
      </c>
      <c r="X193" s="29"/>
      <c r="Y193" s="29"/>
      <c r="Z193" s="29"/>
      <c r="AA193" s="29"/>
      <c r="AB193" s="29"/>
      <c r="AC193" s="29"/>
      <c r="AD193" s="29"/>
      <c r="AE193" s="29"/>
      <c r="AR193" s="150" t="s">
        <v>154</v>
      </c>
      <c r="AT193" s="150" t="s">
        <v>120</v>
      </c>
      <c r="AU193" s="150" t="s">
        <v>80</v>
      </c>
      <c r="AY193" s="17" t="s">
        <v>117</v>
      </c>
      <c r="BE193" s="151">
        <f>IF(N193="základní",J193,0)</f>
        <v>0</v>
      </c>
      <c r="BF193" s="151">
        <f>IF(N193="snížená",J193,0)</f>
        <v>0</v>
      </c>
      <c r="BG193" s="151">
        <f>IF(N193="zákl. přenesená",J193,0)</f>
        <v>0</v>
      </c>
      <c r="BH193" s="151">
        <f>IF(N193="sníž. přenesená",J193,0)</f>
        <v>0</v>
      </c>
      <c r="BI193" s="151">
        <f>IF(N193="nulová",J193,0)</f>
        <v>0</v>
      </c>
      <c r="BJ193" s="17" t="s">
        <v>78</v>
      </c>
      <c r="BK193" s="151">
        <f>ROUND(I193*H193,2)</f>
        <v>0</v>
      </c>
      <c r="BL193" s="17" t="s">
        <v>154</v>
      </c>
      <c r="BM193" s="150" t="s">
        <v>217</v>
      </c>
    </row>
    <row r="194" spans="1:65" s="2" customFormat="1" ht="19.5" x14ac:dyDescent="0.2">
      <c r="A194" s="29"/>
      <c r="B194" s="30"/>
      <c r="C194" s="29"/>
      <c r="D194" s="152" t="s">
        <v>125</v>
      </c>
      <c r="E194" s="29"/>
      <c r="F194" s="153" t="s">
        <v>215</v>
      </c>
      <c r="G194" s="29"/>
      <c r="H194" s="29"/>
      <c r="I194" s="29"/>
      <c r="J194" s="29"/>
      <c r="K194" s="29"/>
      <c r="L194" s="30"/>
      <c r="M194" s="154"/>
      <c r="N194" s="155"/>
      <c r="O194" s="55"/>
      <c r="P194" s="55"/>
      <c r="Q194" s="55"/>
      <c r="R194" s="55"/>
      <c r="S194" s="55"/>
      <c r="T194" s="56"/>
      <c r="U194" s="29"/>
      <c r="V194" s="29"/>
      <c r="W194" s="192"/>
      <c r="X194" s="29"/>
      <c r="Y194" s="29"/>
      <c r="Z194" s="29"/>
      <c r="AA194" s="29"/>
      <c r="AB194" s="29"/>
      <c r="AC194" s="29"/>
      <c r="AD194" s="29"/>
      <c r="AE194" s="29"/>
      <c r="AT194" s="17" t="s">
        <v>125</v>
      </c>
      <c r="AU194" s="17" t="s">
        <v>80</v>
      </c>
    </row>
    <row r="195" spans="1:65" s="12" customFormat="1" ht="22.9" customHeight="1" x14ac:dyDescent="0.2">
      <c r="B195" s="126"/>
      <c r="D195" s="127" t="s">
        <v>70</v>
      </c>
      <c r="E195" s="136" t="s">
        <v>225</v>
      </c>
      <c r="F195" s="136" t="s">
        <v>226</v>
      </c>
      <c r="J195" s="137">
        <f>BK195</f>
        <v>0</v>
      </c>
      <c r="L195" s="126"/>
      <c r="M195" s="130"/>
      <c r="N195" s="131"/>
      <c r="O195" s="131"/>
      <c r="P195" s="132">
        <f>SUM(P196:P201)</f>
        <v>0.92800000000000005</v>
      </c>
      <c r="Q195" s="131"/>
      <c r="R195" s="132">
        <f>SUM(R196:R201)</f>
        <v>0</v>
      </c>
      <c r="S195" s="131"/>
      <c r="T195" s="133">
        <f>SUM(T196:T201)</f>
        <v>7.1440000000000003E-2</v>
      </c>
      <c r="W195" s="190">
        <v>43.9</v>
      </c>
      <c r="AR195" s="127" t="s">
        <v>80</v>
      </c>
      <c r="AT195" s="134" t="s">
        <v>70</v>
      </c>
      <c r="AU195" s="134" t="s">
        <v>78</v>
      </c>
      <c r="AY195" s="127" t="s">
        <v>117</v>
      </c>
      <c r="BK195" s="135">
        <f>SUM(BK196:BK201)</f>
        <v>0</v>
      </c>
    </row>
    <row r="196" spans="1:65" s="2" customFormat="1" ht="16.5" customHeight="1" x14ac:dyDescent="0.2">
      <c r="A196" s="29"/>
      <c r="B196" s="138"/>
      <c r="C196" s="139" t="s">
        <v>227</v>
      </c>
      <c r="D196" s="139" t="s">
        <v>120</v>
      </c>
      <c r="E196" s="140" t="s">
        <v>228</v>
      </c>
      <c r="F196" s="141" t="s">
        <v>229</v>
      </c>
      <c r="G196" s="142" t="s">
        <v>173</v>
      </c>
      <c r="H196" s="143">
        <v>1</v>
      </c>
      <c r="I196" s="144"/>
      <c r="J196" s="144">
        <f>ROUND(I196*H196,2)</f>
        <v>0</v>
      </c>
      <c r="K196" s="145"/>
      <c r="L196" s="30"/>
      <c r="M196" s="146" t="s">
        <v>1</v>
      </c>
      <c r="N196" s="147" t="s">
        <v>36</v>
      </c>
      <c r="O196" s="148">
        <v>0</v>
      </c>
      <c r="P196" s="148">
        <f>O196*H196</f>
        <v>0</v>
      </c>
      <c r="Q196" s="148">
        <v>0</v>
      </c>
      <c r="R196" s="148">
        <f>Q196*H196</f>
        <v>0</v>
      </c>
      <c r="S196" s="148">
        <v>0</v>
      </c>
      <c r="T196" s="149">
        <f>S196*H196</f>
        <v>0</v>
      </c>
      <c r="U196" s="29"/>
      <c r="V196" s="29"/>
      <c r="W196" s="191"/>
      <c r="X196" s="29"/>
      <c r="Y196" s="29"/>
      <c r="Z196" s="29"/>
      <c r="AA196" s="29"/>
      <c r="AB196" s="29"/>
      <c r="AC196" s="29"/>
      <c r="AD196" s="29"/>
      <c r="AE196" s="29"/>
      <c r="AR196" s="150" t="s">
        <v>154</v>
      </c>
      <c r="AT196" s="150" t="s">
        <v>120</v>
      </c>
      <c r="AU196" s="150" t="s">
        <v>80</v>
      </c>
      <c r="AY196" s="17" t="s">
        <v>117</v>
      </c>
      <c r="BE196" s="151">
        <f>IF(N196="základní",J196,0)</f>
        <v>0</v>
      </c>
      <c r="BF196" s="151">
        <f>IF(N196="snížená",J196,0)</f>
        <v>0</v>
      </c>
      <c r="BG196" s="151">
        <f>IF(N196="zákl. přenesená",J196,0)</f>
        <v>0</v>
      </c>
      <c r="BH196" s="151">
        <f>IF(N196="sníž. přenesená",J196,0)</f>
        <v>0</v>
      </c>
      <c r="BI196" s="151">
        <f>IF(N196="nulová",J196,0)</f>
        <v>0</v>
      </c>
      <c r="BJ196" s="17" t="s">
        <v>78</v>
      </c>
      <c r="BK196" s="151">
        <f>ROUND(I196*H196,2)</f>
        <v>0</v>
      </c>
      <c r="BL196" s="17" t="s">
        <v>154</v>
      </c>
      <c r="BM196" s="150" t="s">
        <v>230</v>
      </c>
    </row>
    <row r="197" spans="1:65" s="2" customFormat="1" x14ac:dyDescent="0.2">
      <c r="A197" s="29"/>
      <c r="B197" s="30"/>
      <c r="C197" s="29"/>
      <c r="D197" s="152" t="s">
        <v>125</v>
      </c>
      <c r="E197" s="29"/>
      <c r="F197" s="153" t="s">
        <v>229</v>
      </c>
      <c r="G197" s="29"/>
      <c r="H197" s="29"/>
      <c r="I197" s="29"/>
      <c r="J197" s="29"/>
      <c r="K197" s="29"/>
      <c r="L197" s="30"/>
      <c r="M197" s="154"/>
      <c r="N197" s="155"/>
      <c r="O197" s="55"/>
      <c r="P197" s="55"/>
      <c r="Q197" s="55"/>
      <c r="R197" s="55"/>
      <c r="S197" s="55"/>
      <c r="T197" s="56"/>
      <c r="U197" s="29"/>
      <c r="V197" s="29"/>
      <c r="W197" s="192"/>
      <c r="X197" s="29"/>
      <c r="Y197" s="29"/>
      <c r="Z197" s="29"/>
      <c r="AA197" s="29"/>
      <c r="AB197" s="29"/>
      <c r="AC197" s="29"/>
      <c r="AD197" s="29"/>
      <c r="AE197" s="29"/>
      <c r="AT197" s="17" t="s">
        <v>125</v>
      </c>
      <c r="AU197" s="17" t="s">
        <v>80</v>
      </c>
    </row>
    <row r="198" spans="1:65" s="2" customFormat="1" ht="24.2" customHeight="1" x14ac:dyDescent="0.2">
      <c r="A198" s="29"/>
      <c r="B198" s="138"/>
      <c r="C198" s="139" t="s">
        <v>218</v>
      </c>
      <c r="D198" s="139" t="s">
        <v>120</v>
      </c>
      <c r="E198" s="140" t="s">
        <v>231</v>
      </c>
      <c r="F198" s="141" t="s">
        <v>232</v>
      </c>
      <c r="G198" s="142" t="s">
        <v>123</v>
      </c>
      <c r="H198" s="143">
        <v>4</v>
      </c>
      <c r="I198" s="144"/>
      <c r="J198" s="144">
        <f>ROUND(I198*H198,2)</f>
        <v>0</v>
      </c>
      <c r="K198" s="145"/>
      <c r="L198" s="30"/>
      <c r="M198" s="146" t="s">
        <v>1</v>
      </c>
      <c r="N198" s="147" t="s">
        <v>36</v>
      </c>
      <c r="O198" s="148">
        <v>0.23200000000000001</v>
      </c>
      <c r="P198" s="148">
        <f>O198*H198</f>
        <v>0.92800000000000005</v>
      </c>
      <c r="Q198" s="148">
        <v>0</v>
      </c>
      <c r="R198" s="148">
        <f>Q198*H198</f>
        <v>0</v>
      </c>
      <c r="S198" s="148">
        <v>1.7860000000000001E-2</v>
      </c>
      <c r="T198" s="149">
        <f>S198*H198</f>
        <v>7.1440000000000003E-2</v>
      </c>
      <c r="U198" s="29"/>
      <c r="V198" s="29"/>
      <c r="W198" s="191"/>
      <c r="X198" s="29"/>
      <c r="Y198" s="29"/>
      <c r="Z198" s="29"/>
      <c r="AA198" s="29"/>
      <c r="AB198" s="29"/>
      <c r="AC198" s="29"/>
      <c r="AD198" s="29"/>
      <c r="AE198" s="29"/>
      <c r="AR198" s="150" t="s">
        <v>154</v>
      </c>
      <c r="AT198" s="150" t="s">
        <v>120</v>
      </c>
      <c r="AU198" s="150" t="s">
        <v>80</v>
      </c>
      <c r="AY198" s="17" t="s">
        <v>117</v>
      </c>
      <c r="BE198" s="151">
        <f>IF(N198="základní",J198,0)</f>
        <v>0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7" t="s">
        <v>78</v>
      </c>
      <c r="BK198" s="151">
        <f>ROUND(I198*H198,2)</f>
        <v>0</v>
      </c>
      <c r="BL198" s="17" t="s">
        <v>154</v>
      </c>
      <c r="BM198" s="150" t="s">
        <v>233</v>
      </c>
    </row>
    <row r="199" spans="1:65" s="2" customFormat="1" ht="19.5" x14ac:dyDescent="0.2">
      <c r="A199" s="29"/>
      <c r="B199" s="30"/>
      <c r="C199" s="29"/>
      <c r="D199" s="152" t="s">
        <v>125</v>
      </c>
      <c r="E199" s="29"/>
      <c r="F199" s="153" t="s">
        <v>232</v>
      </c>
      <c r="G199" s="29"/>
      <c r="H199" s="29"/>
      <c r="I199" s="29"/>
      <c r="J199" s="29"/>
      <c r="K199" s="29"/>
      <c r="L199" s="30"/>
      <c r="M199" s="154"/>
      <c r="N199" s="155"/>
      <c r="O199" s="55"/>
      <c r="P199" s="55"/>
      <c r="Q199" s="55"/>
      <c r="R199" s="55"/>
      <c r="S199" s="55"/>
      <c r="T199" s="56"/>
      <c r="U199" s="29"/>
      <c r="V199" s="29"/>
      <c r="W199" s="192"/>
      <c r="X199" s="29"/>
      <c r="Y199" s="29"/>
      <c r="Z199" s="29"/>
      <c r="AA199" s="29"/>
      <c r="AB199" s="29"/>
      <c r="AC199" s="29"/>
      <c r="AD199" s="29"/>
      <c r="AE199" s="29"/>
      <c r="AT199" s="17" t="s">
        <v>125</v>
      </c>
      <c r="AU199" s="17" t="s">
        <v>80</v>
      </c>
    </row>
    <row r="200" spans="1:65" s="2" customFormat="1" ht="24.2" customHeight="1" x14ac:dyDescent="0.2">
      <c r="A200" s="29"/>
      <c r="B200" s="138"/>
      <c r="C200" s="139" t="s">
        <v>234</v>
      </c>
      <c r="D200" s="139" t="s">
        <v>120</v>
      </c>
      <c r="E200" s="140" t="s">
        <v>235</v>
      </c>
      <c r="F200" s="141" t="s">
        <v>236</v>
      </c>
      <c r="G200" s="142" t="s">
        <v>216</v>
      </c>
      <c r="H200" s="143">
        <v>10</v>
      </c>
      <c r="I200" s="144"/>
      <c r="J200" s="144">
        <f>ROUND(I200*H200,2)</f>
        <v>0</v>
      </c>
      <c r="K200" s="145"/>
      <c r="L200" s="30"/>
      <c r="M200" s="146" t="s">
        <v>1</v>
      </c>
      <c r="N200" s="147" t="s">
        <v>36</v>
      </c>
      <c r="O200" s="148">
        <v>0</v>
      </c>
      <c r="P200" s="148">
        <f>O200*H200</f>
        <v>0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U200" s="29"/>
      <c r="V200" s="29"/>
      <c r="W200" s="194"/>
      <c r="X200" s="29"/>
      <c r="Y200" s="29"/>
      <c r="Z200" s="29"/>
      <c r="AA200" s="29"/>
      <c r="AB200" s="29"/>
      <c r="AC200" s="29"/>
      <c r="AD200" s="29"/>
      <c r="AE200" s="29"/>
      <c r="AR200" s="150" t="s">
        <v>154</v>
      </c>
      <c r="AT200" s="150" t="s">
        <v>120</v>
      </c>
      <c r="AU200" s="150" t="s">
        <v>80</v>
      </c>
      <c r="AY200" s="17" t="s">
        <v>117</v>
      </c>
      <c r="BE200" s="151">
        <f>IF(N200="základní",J200,0)</f>
        <v>0</v>
      </c>
      <c r="BF200" s="151">
        <f>IF(N200="snížená",J200,0)</f>
        <v>0</v>
      </c>
      <c r="BG200" s="151">
        <f>IF(N200="zákl. přenesená",J200,0)</f>
        <v>0</v>
      </c>
      <c r="BH200" s="151">
        <f>IF(N200="sníž. přenesená",J200,0)</f>
        <v>0</v>
      </c>
      <c r="BI200" s="151">
        <f>IF(N200="nulová",J200,0)</f>
        <v>0</v>
      </c>
      <c r="BJ200" s="17" t="s">
        <v>78</v>
      </c>
      <c r="BK200" s="151">
        <f>ROUND(I200*H200,2)</f>
        <v>0</v>
      </c>
      <c r="BL200" s="17" t="s">
        <v>154</v>
      </c>
      <c r="BM200" s="150" t="s">
        <v>237</v>
      </c>
    </row>
    <row r="201" spans="1:65" s="2" customFormat="1" ht="19.5" x14ac:dyDescent="0.2">
      <c r="A201" s="29"/>
      <c r="B201" s="30"/>
      <c r="C201" s="29"/>
      <c r="D201" s="152" t="s">
        <v>125</v>
      </c>
      <c r="E201" s="29"/>
      <c r="F201" s="153" t="s">
        <v>236</v>
      </c>
      <c r="G201" s="29"/>
      <c r="H201" s="29"/>
      <c r="I201" s="29"/>
      <c r="J201" s="29"/>
      <c r="K201" s="29"/>
      <c r="L201" s="30"/>
      <c r="M201" s="154"/>
      <c r="N201" s="155"/>
      <c r="O201" s="55"/>
      <c r="P201" s="55"/>
      <c r="Q201" s="55"/>
      <c r="R201" s="55"/>
      <c r="S201" s="55"/>
      <c r="T201" s="56"/>
      <c r="U201" s="29"/>
      <c r="V201" s="29"/>
      <c r="W201" s="190">
        <v>6.92</v>
      </c>
      <c r="X201" s="29"/>
      <c r="Y201" s="29"/>
      <c r="Z201" s="29"/>
      <c r="AA201" s="29"/>
      <c r="AB201" s="29"/>
      <c r="AC201" s="29"/>
      <c r="AD201" s="29"/>
      <c r="AE201" s="29"/>
      <c r="AT201" s="17" t="s">
        <v>125</v>
      </c>
      <c r="AU201" s="17" t="s">
        <v>80</v>
      </c>
    </row>
    <row r="202" spans="1:65" s="12" customFormat="1" ht="22.9" customHeight="1" x14ac:dyDescent="0.2">
      <c r="B202" s="126"/>
      <c r="D202" s="127" t="s">
        <v>70</v>
      </c>
      <c r="E202" s="136" t="s">
        <v>238</v>
      </c>
      <c r="F202" s="136" t="s">
        <v>239</v>
      </c>
      <c r="J202" s="137">
        <f>BK202</f>
        <v>0</v>
      </c>
      <c r="L202" s="126"/>
      <c r="M202" s="130"/>
      <c r="N202" s="131"/>
      <c r="O202" s="131"/>
      <c r="P202" s="132">
        <f>SUM(P203:P217)</f>
        <v>4.7008000000000001</v>
      </c>
      <c r="Q202" s="131"/>
      <c r="R202" s="132">
        <f>SUM(R203:R217)</f>
        <v>2.0376999999999999E-2</v>
      </c>
      <c r="S202" s="131"/>
      <c r="T202" s="133">
        <f>SUM(T203:T217)</f>
        <v>0</v>
      </c>
      <c r="W202" s="195">
        <v>0</v>
      </c>
      <c r="AR202" s="127" t="s">
        <v>80</v>
      </c>
      <c r="AT202" s="134" t="s">
        <v>70</v>
      </c>
      <c r="AU202" s="134" t="s">
        <v>78</v>
      </c>
      <c r="AY202" s="127" t="s">
        <v>117</v>
      </c>
      <c r="BK202" s="135">
        <f>SUM(BK203:BK217)</f>
        <v>0</v>
      </c>
    </row>
    <row r="203" spans="1:65" s="2" customFormat="1" ht="16.5" customHeight="1" x14ac:dyDescent="0.2">
      <c r="A203" s="29"/>
      <c r="B203" s="138"/>
      <c r="C203" s="139" t="s">
        <v>240</v>
      </c>
      <c r="D203" s="139" t="s">
        <v>120</v>
      </c>
      <c r="E203" s="140" t="s">
        <v>241</v>
      </c>
      <c r="F203" s="141" t="s">
        <v>242</v>
      </c>
      <c r="G203" s="142" t="s">
        <v>123</v>
      </c>
      <c r="H203" s="143">
        <v>3.2</v>
      </c>
      <c r="I203" s="144"/>
      <c r="J203" s="144">
        <f>ROUND(I203*H203,2)</f>
        <v>0</v>
      </c>
      <c r="K203" s="145"/>
      <c r="L203" s="30"/>
      <c r="M203" s="146" t="s">
        <v>1</v>
      </c>
      <c r="N203" s="147" t="s">
        <v>36</v>
      </c>
      <c r="O203" s="148">
        <v>4.3999999999999997E-2</v>
      </c>
      <c r="P203" s="148">
        <f>O203*H203</f>
        <v>0.14080000000000001</v>
      </c>
      <c r="Q203" s="148">
        <v>2.9999999999999997E-4</v>
      </c>
      <c r="R203" s="148">
        <f>Q203*H203</f>
        <v>9.5999999999999992E-4</v>
      </c>
      <c r="S203" s="148">
        <v>0</v>
      </c>
      <c r="T203" s="149">
        <f>S203*H203</f>
        <v>0</v>
      </c>
      <c r="U203" s="29"/>
      <c r="V203" s="29"/>
      <c r="W203" s="192"/>
      <c r="X203" s="29"/>
      <c r="Y203" s="29"/>
      <c r="Z203" s="29"/>
      <c r="AA203" s="29"/>
      <c r="AB203" s="29"/>
      <c r="AC203" s="29"/>
      <c r="AD203" s="29"/>
      <c r="AE203" s="29"/>
      <c r="AR203" s="150" t="s">
        <v>154</v>
      </c>
      <c r="AT203" s="150" t="s">
        <v>120</v>
      </c>
      <c r="AU203" s="150" t="s">
        <v>80</v>
      </c>
      <c r="AY203" s="17" t="s">
        <v>117</v>
      </c>
      <c r="BE203" s="151">
        <f>IF(N203="základní",J203,0)</f>
        <v>0</v>
      </c>
      <c r="BF203" s="151">
        <f>IF(N203="snížená",J203,0)</f>
        <v>0</v>
      </c>
      <c r="BG203" s="151">
        <f>IF(N203="zákl. přenesená",J203,0)</f>
        <v>0</v>
      </c>
      <c r="BH203" s="151">
        <f>IF(N203="sníž. přenesená",J203,0)</f>
        <v>0</v>
      </c>
      <c r="BI203" s="151">
        <f>IF(N203="nulová",J203,0)</f>
        <v>0</v>
      </c>
      <c r="BJ203" s="17" t="s">
        <v>78</v>
      </c>
      <c r="BK203" s="151">
        <f>ROUND(I203*H203,2)</f>
        <v>0</v>
      </c>
      <c r="BL203" s="17" t="s">
        <v>154</v>
      </c>
      <c r="BM203" s="150" t="s">
        <v>243</v>
      </c>
    </row>
    <row r="204" spans="1:65" s="2" customFormat="1" ht="12" x14ac:dyDescent="0.2">
      <c r="A204" s="29"/>
      <c r="B204" s="30"/>
      <c r="C204" s="29"/>
      <c r="D204" s="152" t="s">
        <v>125</v>
      </c>
      <c r="E204" s="29"/>
      <c r="F204" s="153" t="s">
        <v>242</v>
      </c>
      <c r="G204" s="29"/>
      <c r="H204" s="29"/>
      <c r="I204" s="29"/>
      <c r="J204" s="29"/>
      <c r="K204" s="29"/>
      <c r="L204" s="30"/>
      <c r="M204" s="154"/>
      <c r="N204" s="155"/>
      <c r="O204" s="55"/>
      <c r="P204" s="55"/>
      <c r="Q204" s="55"/>
      <c r="R204" s="55"/>
      <c r="S204" s="55"/>
      <c r="T204" s="56"/>
      <c r="U204" s="29"/>
      <c r="V204" s="29"/>
      <c r="W204" s="190">
        <v>111</v>
      </c>
      <c r="X204" s="29"/>
      <c r="Y204" s="29"/>
      <c r="Z204" s="29"/>
      <c r="AA204" s="29"/>
      <c r="AB204" s="29"/>
      <c r="AC204" s="29"/>
      <c r="AD204" s="29"/>
      <c r="AE204" s="29"/>
      <c r="AT204" s="17" t="s">
        <v>125</v>
      </c>
      <c r="AU204" s="17" t="s">
        <v>80</v>
      </c>
    </row>
    <row r="205" spans="1:65" s="2" customFormat="1" ht="24.2" customHeight="1" x14ac:dyDescent="0.2">
      <c r="A205" s="29"/>
      <c r="B205" s="138"/>
      <c r="C205" s="139" t="s">
        <v>220</v>
      </c>
      <c r="D205" s="139" t="s">
        <v>120</v>
      </c>
      <c r="E205" s="140" t="s">
        <v>244</v>
      </c>
      <c r="F205" s="141" t="s">
        <v>245</v>
      </c>
      <c r="G205" s="142" t="s">
        <v>123</v>
      </c>
      <c r="H205" s="143">
        <v>3.5</v>
      </c>
      <c r="I205" s="144"/>
      <c r="J205" s="144">
        <f>ROUND(I205*H205,2)</f>
        <v>0</v>
      </c>
      <c r="K205" s="145"/>
      <c r="L205" s="30"/>
      <c r="M205" s="146" t="s">
        <v>1</v>
      </c>
      <c r="N205" s="147" t="s">
        <v>36</v>
      </c>
      <c r="O205" s="148">
        <v>1.1399999999999999</v>
      </c>
      <c r="P205" s="148">
        <f>O205*H205</f>
        <v>3.9899999999999998</v>
      </c>
      <c r="Q205" s="148">
        <v>5.45E-3</v>
      </c>
      <c r="R205" s="148">
        <f>Q205*H205</f>
        <v>1.9075000000000002E-2</v>
      </c>
      <c r="S205" s="148">
        <v>0</v>
      </c>
      <c r="T205" s="149">
        <f>S205*H205</f>
        <v>0</v>
      </c>
      <c r="U205" s="29"/>
      <c r="V205" s="29"/>
      <c r="W205" s="191"/>
      <c r="X205" s="29"/>
      <c r="Y205" s="29"/>
      <c r="Z205" s="29"/>
      <c r="AA205" s="29"/>
      <c r="AB205" s="29"/>
      <c r="AC205" s="29"/>
      <c r="AD205" s="29"/>
      <c r="AE205" s="29"/>
      <c r="AR205" s="150" t="s">
        <v>154</v>
      </c>
      <c r="AT205" s="150" t="s">
        <v>120</v>
      </c>
      <c r="AU205" s="150" t="s">
        <v>80</v>
      </c>
      <c r="AY205" s="17" t="s">
        <v>117</v>
      </c>
      <c r="BE205" s="151">
        <f>IF(N205="základní",J205,0)</f>
        <v>0</v>
      </c>
      <c r="BF205" s="151">
        <f>IF(N205="snížená",J205,0)</f>
        <v>0</v>
      </c>
      <c r="BG205" s="151">
        <f>IF(N205="zákl. přenesená",J205,0)</f>
        <v>0</v>
      </c>
      <c r="BH205" s="151">
        <f>IF(N205="sníž. přenesená",J205,0)</f>
        <v>0</v>
      </c>
      <c r="BI205" s="151">
        <f>IF(N205="nulová",J205,0)</f>
        <v>0</v>
      </c>
      <c r="BJ205" s="17" t="s">
        <v>78</v>
      </c>
      <c r="BK205" s="151">
        <f>ROUND(I205*H205,2)</f>
        <v>0</v>
      </c>
      <c r="BL205" s="17" t="s">
        <v>154</v>
      </c>
      <c r="BM205" s="150" t="s">
        <v>246</v>
      </c>
    </row>
    <row r="206" spans="1:65" s="2" customFormat="1" ht="19.5" x14ac:dyDescent="0.2">
      <c r="A206" s="29"/>
      <c r="B206" s="30"/>
      <c r="C206" s="29"/>
      <c r="D206" s="152" t="s">
        <v>125</v>
      </c>
      <c r="E206" s="29"/>
      <c r="F206" s="153" t="s">
        <v>245</v>
      </c>
      <c r="G206" s="29"/>
      <c r="H206" s="29"/>
      <c r="I206" s="29"/>
      <c r="J206" s="29"/>
      <c r="K206" s="29"/>
      <c r="L206" s="30"/>
      <c r="M206" s="154"/>
      <c r="N206" s="155"/>
      <c r="O206" s="55"/>
      <c r="P206" s="55"/>
      <c r="Q206" s="55"/>
      <c r="R206" s="55"/>
      <c r="S206" s="55"/>
      <c r="T206" s="56"/>
      <c r="U206" s="29"/>
      <c r="V206" s="29"/>
      <c r="W206" s="192"/>
      <c r="X206" s="29"/>
      <c r="Y206" s="29"/>
      <c r="Z206" s="29"/>
      <c r="AA206" s="29"/>
      <c r="AB206" s="29"/>
      <c r="AC206" s="29"/>
      <c r="AD206" s="29"/>
      <c r="AE206" s="29"/>
      <c r="AT206" s="17" t="s">
        <v>125</v>
      </c>
      <c r="AU206" s="17" t="s">
        <v>80</v>
      </c>
    </row>
    <row r="207" spans="1:65" s="2" customFormat="1" ht="21.75" customHeight="1" x14ac:dyDescent="0.2">
      <c r="A207" s="29"/>
      <c r="B207" s="138"/>
      <c r="C207" s="176" t="s">
        <v>247</v>
      </c>
      <c r="D207" s="176" t="s">
        <v>219</v>
      </c>
      <c r="E207" s="177" t="s">
        <v>248</v>
      </c>
      <c r="F207" s="178" t="s">
        <v>249</v>
      </c>
      <c r="G207" s="179" t="s">
        <v>123</v>
      </c>
      <c r="H207" s="180">
        <v>4</v>
      </c>
      <c r="I207" s="181"/>
      <c r="J207" s="181">
        <f>ROUND(I207*H207,2)</f>
        <v>0</v>
      </c>
      <c r="K207" s="182"/>
      <c r="L207" s="183"/>
      <c r="M207" s="184" t="s">
        <v>1</v>
      </c>
      <c r="N207" s="185" t="s">
        <v>36</v>
      </c>
      <c r="O207" s="148">
        <v>0</v>
      </c>
      <c r="P207" s="148">
        <f>O207*H207</f>
        <v>0</v>
      </c>
      <c r="Q207" s="148">
        <v>0</v>
      </c>
      <c r="R207" s="148">
        <f>Q207*H207</f>
        <v>0</v>
      </c>
      <c r="S207" s="148">
        <v>0</v>
      </c>
      <c r="T207" s="149">
        <f>S207*H207</f>
        <v>0</v>
      </c>
      <c r="U207" s="29"/>
      <c r="V207" s="29"/>
      <c r="W207" s="195">
        <v>0</v>
      </c>
      <c r="X207" s="29"/>
      <c r="Y207" s="29"/>
      <c r="Z207" s="29"/>
      <c r="AA207" s="29"/>
      <c r="AB207" s="29"/>
      <c r="AC207" s="29"/>
      <c r="AD207" s="29"/>
      <c r="AE207" s="29"/>
      <c r="AR207" s="150" t="s">
        <v>188</v>
      </c>
      <c r="AT207" s="150" t="s">
        <v>219</v>
      </c>
      <c r="AU207" s="150" t="s">
        <v>80</v>
      </c>
      <c r="AY207" s="17" t="s">
        <v>117</v>
      </c>
      <c r="BE207" s="151">
        <f>IF(N207="základní",J207,0)</f>
        <v>0</v>
      </c>
      <c r="BF207" s="151">
        <f>IF(N207="snížená",J207,0)</f>
        <v>0</v>
      </c>
      <c r="BG207" s="151">
        <f>IF(N207="zákl. přenesená",J207,0)</f>
        <v>0</v>
      </c>
      <c r="BH207" s="151">
        <f>IF(N207="sníž. přenesená",J207,0)</f>
        <v>0</v>
      </c>
      <c r="BI207" s="151">
        <f>IF(N207="nulová",J207,0)</f>
        <v>0</v>
      </c>
      <c r="BJ207" s="17" t="s">
        <v>78</v>
      </c>
      <c r="BK207" s="151">
        <f>ROUND(I207*H207,2)</f>
        <v>0</v>
      </c>
      <c r="BL207" s="17" t="s">
        <v>154</v>
      </c>
      <c r="BM207" s="150" t="s">
        <v>250</v>
      </c>
    </row>
    <row r="208" spans="1:65" s="2" customFormat="1" x14ac:dyDescent="0.2">
      <c r="A208" s="29"/>
      <c r="B208" s="30"/>
      <c r="C208" s="29"/>
      <c r="D208" s="152" t="s">
        <v>125</v>
      </c>
      <c r="E208" s="29"/>
      <c r="F208" s="153" t="s">
        <v>249</v>
      </c>
      <c r="G208" s="29"/>
      <c r="H208" s="29"/>
      <c r="I208" s="29"/>
      <c r="J208" s="29"/>
      <c r="K208" s="29"/>
      <c r="L208" s="30"/>
      <c r="M208" s="154"/>
      <c r="N208" s="155"/>
      <c r="O208" s="55"/>
      <c r="P208" s="55"/>
      <c r="Q208" s="55"/>
      <c r="R208" s="55"/>
      <c r="S208" s="55"/>
      <c r="T208" s="56"/>
      <c r="U208" s="29"/>
      <c r="V208" s="29"/>
      <c r="W208" s="192"/>
      <c r="X208" s="29"/>
      <c r="Y208" s="29"/>
      <c r="Z208" s="29"/>
      <c r="AA208" s="29"/>
      <c r="AB208" s="29"/>
      <c r="AC208" s="29"/>
      <c r="AD208" s="29"/>
      <c r="AE208" s="29"/>
      <c r="AT208" s="17" t="s">
        <v>125</v>
      </c>
      <c r="AU208" s="17" t="s">
        <v>80</v>
      </c>
    </row>
    <row r="209" spans="1:65" s="2" customFormat="1" ht="16.5" customHeight="1" x14ac:dyDescent="0.2">
      <c r="A209" s="29"/>
      <c r="B209" s="138"/>
      <c r="C209" s="139" t="s">
        <v>221</v>
      </c>
      <c r="D209" s="139" t="s">
        <v>120</v>
      </c>
      <c r="E209" s="140" t="s">
        <v>294</v>
      </c>
      <c r="F209" s="141" t="s">
        <v>251</v>
      </c>
      <c r="G209" s="142" t="s">
        <v>177</v>
      </c>
      <c r="H209" s="143">
        <v>11.4</v>
      </c>
      <c r="I209" s="144"/>
      <c r="J209" s="144">
        <f>ROUND(I209*H209,2)</f>
        <v>0</v>
      </c>
      <c r="K209" s="145"/>
      <c r="L209" s="30"/>
      <c r="M209" s="146" t="s">
        <v>1</v>
      </c>
      <c r="N209" s="147" t="s">
        <v>36</v>
      </c>
      <c r="O209" s="148">
        <v>0.05</v>
      </c>
      <c r="P209" s="148">
        <f>O209*H209</f>
        <v>0.57000000000000006</v>
      </c>
      <c r="Q209" s="148">
        <v>3.0000000000000001E-5</v>
      </c>
      <c r="R209" s="148">
        <f>Q209*H209</f>
        <v>3.4200000000000002E-4</v>
      </c>
      <c r="S209" s="148">
        <v>0</v>
      </c>
      <c r="T209" s="149">
        <f>S209*H209</f>
        <v>0</v>
      </c>
      <c r="U209" s="29"/>
      <c r="V209" s="29"/>
      <c r="W209" s="190">
        <v>0.4</v>
      </c>
      <c r="X209" s="29"/>
      <c r="Y209" s="29"/>
      <c r="Z209" s="29"/>
      <c r="AA209" s="29"/>
      <c r="AB209" s="29"/>
      <c r="AC209" s="29"/>
      <c r="AD209" s="29"/>
      <c r="AE209" s="29"/>
      <c r="AR209" s="150" t="s">
        <v>154</v>
      </c>
      <c r="AT209" s="150" t="s">
        <v>120</v>
      </c>
      <c r="AU209" s="150" t="s">
        <v>80</v>
      </c>
      <c r="AY209" s="17" t="s">
        <v>117</v>
      </c>
      <c r="BE209" s="151">
        <f>IF(N209="základní",J209,0)</f>
        <v>0</v>
      </c>
      <c r="BF209" s="151">
        <f>IF(N209="snížená",J209,0)</f>
        <v>0</v>
      </c>
      <c r="BG209" s="151">
        <f>IF(N209="zákl. přenesená",J209,0)</f>
        <v>0</v>
      </c>
      <c r="BH209" s="151">
        <f>IF(N209="sníž. přenesená",J209,0)</f>
        <v>0</v>
      </c>
      <c r="BI209" s="151">
        <f>IF(N209="nulová",J209,0)</f>
        <v>0</v>
      </c>
      <c r="BJ209" s="17" t="s">
        <v>78</v>
      </c>
      <c r="BK209" s="151">
        <f>ROUND(I209*H209,2)</f>
        <v>0</v>
      </c>
      <c r="BL209" s="17" t="s">
        <v>154</v>
      </c>
      <c r="BM209" s="150" t="s">
        <v>252</v>
      </c>
    </row>
    <row r="210" spans="1:65" s="2" customFormat="1" x14ac:dyDescent="0.2">
      <c r="A210" s="29"/>
      <c r="B210" s="30"/>
      <c r="C210" s="29"/>
      <c r="D210" s="152" t="s">
        <v>125</v>
      </c>
      <c r="E210" s="29"/>
      <c r="F210" s="153" t="s">
        <v>251</v>
      </c>
      <c r="G210" s="29"/>
      <c r="H210" s="29"/>
      <c r="I210" s="29"/>
      <c r="J210" s="29"/>
      <c r="K210" s="29"/>
      <c r="L210" s="30"/>
      <c r="M210" s="154"/>
      <c r="N210" s="155"/>
      <c r="O210" s="55"/>
      <c r="P210" s="55"/>
      <c r="Q210" s="55"/>
      <c r="R210" s="55"/>
      <c r="S210" s="55"/>
      <c r="T210" s="56"/>
      <c r="U210" s="29"/>
      <c r="V210" s="29"/>
      <c r="W210" s="193"/>
      <c r="X210" s="29"/>
      <c r="Y210" s="29"/>
      <c r="Z210" s="29"/>
      <c r="AA210" s="29"/>
      <c r="AB210" s="29"/>
      <c r="AC210" s="29"/>
      <c r="AD210" s="29"/>
      <c r="AE210" s="29"/>
      <c r="AT210" s="17" t="s">
        <v>125</v>
      </c>
      <c r="AU210" s="17" t="s">
        <v>80</v>
      </c>
    </row>
    <row r="211" spans="1:65" s="13" customFormat="1" ht="12" x14ac:dyDescent="0.2">
      <c r="B211" s="156"/>
      <c r="D211" s="152" t="s">
        <v>135</v>
      </c>
      <c r="E211" s="157" t="s">
        <v>1</v>
      </c>
      <c r="F211" s="158" t="s">
        <v>212</v>
      </c>
      <c r="H211" s="157" t="s">
        <v>1</v>
      </c>
      <c r="L211" s="156"/>
      <c r="M211" s="159"/>
      <c r="N211" s="160"/>
      <c r="O211" s="160"/>
      <c r="P211" s="160"/>
      <c r="Q211" s="160"/>
      <c r="R211" s="160"/>
      <c r="S211" s="160"/>
      <c r="T211" s="161"/>
      <c r="W211" s="190">
        <v>59.3</v>
      </c>
      <c r="AT211" s="157" t="s">
        <v>135</v>
      </c>
      <c r="AU211" s="157" t="s">
        <v>80</v>
      </c>
      <c r="AV211" s="13" t="s">
        <v>78</v>
      </c>
      <c r="AW211" s="13" t="s">
        <v>28</v>
      </c>
      <c r="AX211" s="13" t="s">
        <v>71</v>
      </c>
      <c r="AY211" s="157" t="s">
        <v>117</v>
      </c>
    </row>
    <row r="212" spans="1:65" s="14" customFormat="1" ht="12" x14ac:dyDescent="0.2">
      <c r="B212" s="162"/>
      <c r="D212" s="152" t="s">
        <v>135</v>
      </c>
      <c r="E212" s="163" t="s">
        <v>1</v>
      </c>
      <c r="F212" s="164" t="s">
        <v>253</v>
      </c>
      <c r="H212" s="165">
        <v>4.2</v>
      </c>
      <c r="L212" s="162"/>
      <c r="M212" s="166"/>
      <c r="N212" s="167"/>
      <c r="O212" s="167"/>
      <c r="P212" s="167"/>
      <c r="Q212" s="167"/>
      <c r="R212" s="167"/>
      <c r="S212" s="167"/>
      <c r="T212" s="168"/>
      <c r="W212" s="190">
        <v>958</v>
      </c>
      <c r="AT212" s="163" t="s">
        <v>135</v>
      </c>
      <c r="AU212" s="163" t="s">
        <v>80</v>
      </c>
      <c r="AV212" s="14" t="s">
        <v>80</v>
      </c>
      <c r="AW212" s="14" t="s">
        <v>28</v>
      </c>
      <c r="AX212" s="14" t="s">
        <v>71</v>
      </c>
      <c r="AY212" s="163" t="s">
        <v>117</v>
      </c>
    </row>
    <row r="213" spans="1:65" s="13" customFormat="1" ht="12" x14ac:dyDescent="0.2">
      <c r="B213" s="156"/>
      <c r="D213" s="152" t="s">
        <v>135</v>
      </c>
      <c r="E213" s="157" t="s">
        <v>1</v>
      </c>
      <c r="F213" s="158" t="s">
        <v>254</v>
      </c>
      <c r="H213" s="157" t="s">
        <v>1</v>
      </c>
      <c r="L213" s="156"/>
      <c r="M213" s="159"/>
      <c r="N213" s="160"/>
      <c r="O213" s="160"/>
      <c r="P213" s="160"/>
      <c r="Q213" s="160"/>
      <c r="R213" s="160"/>
      <c r="S213" s="160"/>
      <c r="T213" s="161"/>
      <c r="W213" s="195">
        <v>650</v>
      </c>
      <c r="AT213" s="157" t="s">
        <v>135</v>
      </c>
      <c r="AU213" s="157" t="s">
        <v>80</v>
      </c>
      <c r="AV213" s="13" t="s">
        <v>78</v>
      </c>
      <c r="AW213" s="13" t="s">
        <v>28</v>
      </c>
      <c r="AX213" s="13" t="s">
        <v>71</v>
      </c>
      <c r="AY213" s="157" t="s">
        <v>117</v>
      </c>
    </row>
    <row r="214" spans="1:65" s="14" customFormat="1" x14ac:dyDescent="0.2">
      <c r="B214" s="162"/>
      <c r="D214" s="152" t="s">
        <v>135</v>
      </c>
      <c r="E214" s="163" t="s">
        <v>1</v>
      </c>
      <c r="F214" s="164" t="s">
        <v>255</v>
      </c>
      <c r="H214" s="165">
        <v>7.2</v>
      </c>
      <c r="L214" s="162"/>
      <c r="M214" s="166"/>
      <c r="N214" s="167"/>
      <c r="O214" s="167"/>
      <c r="P214" s="167"/>
      <c r="Q214" s="167"/>
      <c r="R214" s="167"/>
      <c r="S214" s="167"/>
      <c r="T214" s="168"/>
      <c r="W214" s="192"/>
      <c r="AT214" s="163" t="s">
        <v>135</v>
      </c>
      <c r="AU214" s="163" t="s">
        <v>80</v>
      </c>
      <c r="AV214" s="14" t="s">
        <v>80</v>
      </c>
      <c r="AW214" s="14" t="s">
        <v>28</v>
      </c>
      <c r="AX214" s="14" t="s">
        <v>71</v>
      </c>
      <c r="AY214" s="163" t="s">
        <v>117</v>
      </c>
    </row>
    <row r="215" spans="1:65" s="15" customFormat="1" ht="12" x14ac:dyDescent="0.2">
      <c r="B215" s="169"/>
      <c r="D215" s="152" t="s">
        <v>135</v>
      </c>
      <c r="E215" s="170" t="s">
        <v>1</v>
      </c>
      <c r="F215" s="171" t="s">
        <v>138</v>
      </c>
      <c r="H215" s="172">
        <v>11.4</v>
      </c>
      <c r="L215" s="169"/>
      <c r="M215" s="173"/>
      <c r="N215" s="174"/>
      <c r="O215" s="174"/>
      <c r="P215" s="174"/>
      <c r="Q215" s="174"/>
      <c r="R215" s="174"/>
      <c r="S215" s="174"/>
      <c r="T215" s="175"/>
      <c r="W215" s="190">
        <v>0</v>
      </c>
      <c r="AT215" s="170" t="s">
        <v>135</v>
      </c>
      <c r="AU215" s="170" t="s">
        <v>80</v>
      </c>
      <c r="AV215" s="15" t="s">
        <v>124</v>
      </c>
      <c r="AW215" s="15" t="s">
        <v>28</v>
      </c>
      <c r="AX215" s="15" t="s">
        <v>78</v>
      </c>
      <c r="AY215" s="170" t="s">
        <v>117</v>
      </c>
    </row>
    <row r="216" spans="1:65" s="2" customFormat="1" ht="24.2" customHeight="1" x14ac:dyDescent="0.2">
      <c r="A216" s="29"/>
      <c r="B216" s="138"/>
      <c r="C216" s="139" t="s">
        <v>256</v>
      </c>
      <c r="D216" s="139" t="s">
        <v>120</v>
      </c>
      <c r="E216" s="140" t="s">
        <v>257</v>
      </c>
      <c r="F216" s="141" t="s">
        <v>258</v>
      </c>
      <c r="G216" s="142" t="s">
        <v>216</v>
      </c>
      <c r="H216" s="143">
        <v>69.66</v>
      </c>
      <c r="I216" s="144"/>
      <c r="J216" s="144">
        <f>ROUND(I216*H216,2)</f>
        <v>0</v>
      </c>
      <c r="K216" s="145"/>
      <c r="L216" s="30"/>
      <c r="M216" s="146" t="s">
        <v>1</v>
      </c>
      <c r="N216" s="147" t="s">
        <v>36</v>
      </c>
      <c r="O216" s="148">
        <v>0</v>
      </c>
      <c r="P216" s="148">
        <f>O216*H216</f>
        <v>0</v>
      </c>
      <c r="Q216" s="148">
        <v>0</v>
      </c>
      <c r="R216" s="148">
        <f>Q216*H216</f>
        <v>0</v>
      </c>
      <c r="S216" s="148">
        <v>0</v>
      </c>
      <c r="T216" s="149">
        <f>S216*H216</f>
        <v>0</v>
      </c>
      <c r="U216" s="29"/>
      <c r="V216" s="29"/>
      <c r="W216" s="190">
        <v>3.54</v>
      </c>
      <c r="X216" s="29"/>
      <c r="Y216" s="29"/>
      <c r="Z216" s="29"/>
      <c r="AA216" s="29"/>
      <c r="AB216" s="29"/>
      <c r="AC216" s="29"/>
      <c r="AD216" s="29"/>
      <c r="AE216" s="29"/>
      <c r="AR216" s="150" t="s">
        <v>154</v>
      </c>
      <c r="AT216" s="150" t="s">
        <v>120</v>
      </c>
      <c r="AU216" s="150" t="s">
        <v>80</v>
      </c>
      <c r="AY216" s="17" t="s">
        <v>117</v>
      </c>
      <c r="BE216" s="151">
        <f>IF(N216="základní",J216,0)</f>
        <v>0</v>
      </c>
      <c r="BF216" s="151">
        <f>IF(N216="snížená",J216,0)</f>
        <v>0</v>
      </c>
      <c r="BG216" s="151">
        <f>IF(N216="zákl. přenesená",J216,0)</f>
        <v>0</v>
      </c>
      <c r="BH216" s="151">
        <f>IF(N216="sníž. přenesená",J216,0)</f>
        <v>0</v>
      </c>
      <c r="BI216" s="151">
        <f>IF(N216="nulová",J216,0)</f>
        <v>0</v>
      </c>
      <c r="BJ216" s="17" t="s">
        <v>78</v>
      </c>
      <c r="BK216" s="151">
        <f>ROUND(I216*H216,2)</f>
        <v>0</v>
      </c>
      <c r="BL216" s="17" t="s">
        <v>154</v>
      </c>
      <c r="BM216" s="150" t="s">
        <v>259</v>
      </c>
    </row>
    <row r="217" spans="1:65" s="2" customFormat="1" x14ac:dyDescent="0.2">
      <c r="A217" s="29"/>
      <c r="B217" s="30"/>
      <c r="C217" s="29"/>
      <c r="D217" s="152" t="s">
        <v>125</v>
      </c>
      <c r="E217" s="29"/>
      <c r="F217" s="153" t="s">
        <v>258</v>
      </c>
      <c r="G217" s="29"/>
      <c r="H217" s="29"/>
      <c r="I217" s="29"/>
      <c r="J217" s="29"/>
      <c r="K217" s="29"/>
      <c r="L217" s="30"/>
      <c r="M217" s="154"/>
      <c r="N217" s="155"/>
      <c r="O217" s="55"/>
      <c r="P217" s="55"/>
      <c r="Q217" s="55"/>
      <c r="R217" s="55"/>
      <c r="S217" s="55"/>
      <c r="T217" s="56"/>
      <c r="U217" s="29"/>
      <c r="V217" s="29"/>
      <c r="W217" s="193"/>
      <c r="X217" s="29"/>
      <c r="Y217" s="29"/>
      <c r="Z217" s="29"/>
      <c r="AA217" s="29"/>
      <c r="AB217" s="29"/>
      <c r="AC217" s="29"/>
      <c r="AD217" s="29"/>
      <c r="AE217" s="29"/>
      <c r="AT217" s="17" t="s">
        <v>125</v>
      </c>
      <c r="AU217" s="17" t="s">
        <v>80</v>
      </c>
    </row>
    <row r="218" spans="1:65" s="12" customFormat="1" ht="22.9" customHeight="1" x14ac:dyDescent="0.2">
      <c r="B218" s="126"/>
      <c r="D218" s="127" t="s">
        <v>70</v>
      </c>
      <c r="E218" s="136" t="s">
        <v>260</v>
      </c>
      <c r="F218" s="136" t="s">
        <v>261</v>
      </c>
      <c r="J218" s="137">
        <f>BK218</f>
        <v>0</v>
      </c>
      <c r="L218" s="126"/>
      <c r="M218" s="130"/>
      <c r="N218" s="131"/>
      <c r="O218" s="131"/>
      <c r="P218" s="132">
        <f>SUM(P219:P228)</f>
        <v>16.172000000000001</v>
      </c>
      <c r="Q218" s="131"/>
      <c r="R218" s="132">
        <f>SUM(R219:R228)</f>
        <v>6.9550000000000001E-2</v>
      </c>
      <c r="S218" s="131"/>
      <c r="T218" s="133">
        <f>SUM(T219:T228)</f>
        <v>0</v>
      </c>
      <c r="AR218" s="127" t="s">
        <v>80</v>
      </c>
      <c r="AT218" s="134" t="s">
        <v>70</v>
      </c>
      <c r="AU218" s="134" t="s">
        <v>78</v>
      </c>
      <c r="AY218" s="127" t="s">
        <v>117</v>
      </c>
      <c r="BK218" s="135">
        <f>SUM(BK219:BK228)</f>
        <v>0</v>
      </c>
    </row>
    <row r="219" spans="1:65" s="2" customFormat="1" ht="16.5" customHeight="1" x14ac:dyDescent="0.2">
      <c r="A219" s="29"/>
      <c r="B219" s="138"/>
      <c r="C219" s="139" t="s">
        <v>262</v>
      </c>
      <c r="D219" s="139" t="s">
        <v>120</v>
      </c>
      <c r="E219" s="140" t="s">
        <v>263</v>
      </c>
      <c r="F219" s="141" t="s">
        <v>264</v>
      </c>
      <c r="G219" s="142" t="s">
        <v>123</v>
      </c>
      <c r="H219" s="143">
        <v>13</v>
      </c>
      <c r="I219" s="144"/>
      <c r="J219" s="144">
        <f>ROUND(I219*H219,2)</f>
        <v>0</v>
      </c>
      <c r="K219" s="145"/>
      <c r="L219" s="30"/>
      <c r="M219" s="146" t="s">
        <v>1</v>
      </c>
      <c r="N219" s="147" t="s">
        <v>36</v>
      </c>
      <c r="O219" s="148">
        <v>4.3999999999999997E-2</v>
      </c>
      <c r="P219" s="148">
        <f>O219*H219</f>
        <v>0.57199999999999995</v>
      </c>
      <c r="Q219" s="148">
        <v>2.9999999999999997E-4</v>
      </c>
      <c r="R219" s="148">
        <f>Q219*H219</f>
        <v>3.8999999999999998E-3</v>
      </c>
      <c r="S219" s="148">
        <v>0</v>
      </c>
      <c r="T219" s="149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0" t="s">
        <v>154</v>
      </c>
      <c r="AT219" s="150" t="s">
        <v>120</v>
      </c>
      <c r="AU219" s="150" t="s">
        <v>80</v>
      </c>
      <c r="AY219" s="17" t="s">
        <v>117</v>
      </c>
      <c r="BE219" s="151">
        <f>IF(N219="základní",J219,0)</f>
        <v>0</v>
      </c>
      <c r="BF219" s="151">
        <f>IF(N219="snížená",J219,0)</f>
        <v>0</v>
      </c>
      <c r="BG219" s="151">
        <f>IF(N219="zákl. přenesená",J219,0)</f>
        <v>0</v>
      </c>
      <c r="BH219" s="151">
        <f>IF(N219="sníž. přenesená",J219,0)</f>
        <v>0</v>
      </c>
      <c r="BI219" s="151">
        <f>IF(N219="nulová",J219,0)</f>
        <v>0</v>
      </c>
      <c r="BJ219" s="17" t="s">
        <v>78</v>
      </c>
      <c r="BK219" s="151">
        <f>ROUND(I219*H219,2)</f>
        <v>0</v>
      </c>
      <c r="BL219" s="17" t="s">
        <v>154</v>
      </c>
      <c r="BM219" s="150" t="s">
        <v>265</v>
      </c>
    </row>
    <row r="220" spans="1:65" s="2" customFormat="1" x14ac:dyDescent="0.2">
      <c r="A220" s="29"/>
      <c r="B220" s="30"/>
      <c r="C220" s="29"/>
      <c r="D220" s="152" t="s">
        <v>125</v>
      </c>
      <c r="E220" s="29"/>
      <c r="F220" s="153" t="s">
        <v>264</v>
      </c>
      <c r="G220" s="29"/>
      <c r="H220" s="29"/>
      <c r="I220" s="29"/>
      <c r="J220" s="29"/>
      <c r="K220" s="29"/>
      <c r="L220" s="30"/>
      <c r="M220" s="154"/>
      <c r="N220" s="155"/>
      <c r="O220" s="55"/>
      <c r="P220" s="55"/>
      <c r="Q220" s="55"/>
      <c r="R220" s="55"/>
      <c r="S220" s="55"/>
      <c r="T220" s="56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T220" s="17" t="s">
        <v>125</v>
      </c>
      <c r="AU220" s="17" t="s">
        <v>80</v>
      </c>
    </row>
    <row r="221" spans="1:65" s="2" customFormat="1" ht="24.2" customHeight="1" x14ac:dyDescent="0.2">
      <c r="A221" s="29"/>
      <c r="B221" s="138"/>
      <c r="C221" s="139" t="s">
        <v>222</v>
      </c>
      <c r="D221" s="139" t="s">
        <v>120</v>
      </c>
      <c r="E221" s="140" t="s">
        <v>266</v>
      </c>
      <c r="F221" s="141" t="s">
        <v>267</v>
      </c>
      <c r="G221" s="142" t="s">
        <v>123</v>
      </c>
      <c r="H221" s="143">
        <v>13</v>
      </c>
      <c r="I221" s="144"/>
      <c r="J221" s="144">
        <f>ROUND(I221*H221,2)</f>
        <v>0</v>
      </c>
      <c r="K221" s="145"/>
      <c r="L221" s="30"/>
      <c r="M221" s="146" t="s">
        <v>1</v>
      </c>
      <c r="N221" s="147" t="s">
        <v>36</v>
      </c>
      <c r="O221" s="148">
        <v>1.2</v>
      </c>
      <c r="P221" s="148">
        <f>O221*H221</f>
        <v>15.6</v>
      </c>
      <c r="Q221" s="148">
        <v>5.0499999999999998E-3</v>
      </c>
      <c r="R221" s="148">
        <f>Q221*H221</f>
        <v>6.565E-2</v>
      </c>
      <c r="S221" s="148">
        <v>0</v>
      </c>
      <c r="T221" s="149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0" t="s">
        <v>154</v>
      </c>
      <c r="AT221" s="150" t="s">
        <v>120</v>
      </c>
      <c r="AU221" s="150" t="s">
        <v>80</v>
      </c>
      <c r="AY221" s="17" t="s">
        <v>117</v>
      </c>
      <c r="BE221" s="151">
        <f>IF(N221="základní",J221,0)</f>
        <v>0</v>
      </c>
      <c r="BF221" s="151">
        <f>IF(N221="snížená",J221,0)</f>
        <v>0</v>
      </c>
      <c r="BG221" s="151">
        <f>IF(N221="zákl. přenesená",J221,0)</f>
        <v>0</v>
      </c>
      <c r="BH221" s="151">
        <f>IF(N221="sníž. přenesená",J221,0)</f>
        <v>0</v>
      </c>
      <c r="BI221" s="151">
        <f>IF(N221="nulová",J221,0)</f>
        <v>0</v>
      </c>
      <c r="BJ221" s="17" t="s">
        <v>78</v>
      </c>
      <c r="BK221" s="151">
        <f>ROUND(I221*H221,2)</f>
        <v>0</v>
      </c>
      <c r="BL221" s="17" t="s">
        <v>154</v>
      </c>
      <c r="BM221" s="150" t="s">
        <v>268</v>
      </c>
    </row>
    <row r="222" spans="1:65" s="2" customFormat="1" ht="19.5" x14ac:dyDescent="0.2">
      <c r="A222" s="29"/>
      <c r="B222" s="30"/>
      <c r="C222" s="29"/>
      <c r="D222" s="152" t="s">
        <v>125</v>
      </c>
      <c r="E222" s="29"/>
      <c r="F222" s="153" t="s">
        <v>267</v>
      </c>
      <c r="G222" s="29"/>
      <c r="H222" s="29"/>
      <c r="I222" s="29"/>
      <c r="J222" s="29"/>
      <c r="K222" s="29"/>
      <c r="L222" s="30"/>
      <c r="M222" s="154"/>
      <c r="N222" s="155"/>
      <c r="O222" s="55"/>
      <c r="P222" s="55"/>
      <c r="Q222" s="55"/>
      <c r="R222" s="55"/>
      <c r="S222" s="55"/>
      <c r="T222" s="56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T222" s="17" t="s">
        <v>125</v>
      </c>
      <c r="AU222" s="17" t="s">
        <v>80</v>
      </c>
    </row>
    <row r="223" spans="1:65" s="2" customFormat="1" ht="16.5" customHeight="1" x14ac:dyDescent="0.2">
      <c r="A223" s="29"/>
      <c r="B223" s="138"/>
      <c r="C223" s="176" t="s">
        <v>269</v>
      </c>
      <c r="D223" s="176" t="s">
        <v>219</v>
      </c>
      <c r="E223" s="177" t="s">
        <v>270</v>
      </c>
      <c r="F223" s="178" t="s">
        <v>271</v>
      </c>
      <c r="G223" s="179" t="s">
        <v>123</v>
      </c>
      <c r="H223" s="180">
        <v>13</v>
      </c>
      <c r="I223" s="181"/>
      <c r="J223" s="181">
        <f>ROUND(I223*H223,2)</f>
        <v>0</v>
      </c>
      <c r="K223" s="182"/>
      <c r="L223" s="183"/>
      <c r="M223" s="184" t="s">
        <v>1</v>
      </c>
      <c r="N223" s="185" t="s">
        <v>36</v>
      </c>
      <c r="O223" s="148">
        <v>0</v>
      </c>
      <c r="P223" s="148">
        <f>O223*H223</f>
        <v>0</v>
      </c>
      <c r="Q223" s="148">
        <v>0</v>
      </c>
      <c r="R223" s="148">
        <f>Q223*H223</f>
        <v>0</v>
      </c>
      <c r="S223" s="148">
        <v>0</v>
      </c>
      <c r="T223" s="149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0" t="s">
        <v>188</v>
      </c>
      <c r="AT223" s="150" t="s">
        <v>219</v>
      </c>
      <c r="AU223" s="150" t="s">
        <v>80</v>
      </c>
      <c r="AY223" s="17" t="s">
        <v>117</v>
      </c>
      <c r="BE223" s="151">
        <f>IF(N223="základní",J223,0)</f>
        <v>0</v>
      </c>
      <c r="BF223" s="151">
        <f>IF(N223="snížená",J223,0)</f>
        <v>0</v>
      </c>
      <c r="BG223" s="151">
        <f>IF(N223="zákl. přenesená",J223,0)</f>
        <v>0</v>
      </c>
      <c r="BH223" s="151">
        <f>IF(N223="sníž. přenesená",J223,0)</f>
        <v>0</v>
      </c>
      <c r="BI223" s="151">
        <f>IF(N223="nulová",J223,0)</f>
        <v>0</v>
      </c>
      <c r="BJ223" s="17" t="s">
        <v>78</v>
      </c>
      <c r="BK223" s="151">
        <f>ROUND(I223*H223,2)</f>
        <v>0</v>
      </c>
      <c r="BL223" s="17" t="s">
        <v>154</v>
      </c>
      <c r="BM223" s="150" t="s">
        <v>272</v>
      </c>
    </row>
    <row r="224" spans="1:65" s="2" customFormat="1" x14ac:dyDescent="0.2">
      <c r="A224" s="29"/>
      <c r="B224" s="30"/>
      <c r="C224" s="29"/>
      <c r="D224" s="152" t="s">
        <v>125</v>
      </c>
      <c r="E224" s="29"/>
      <c r="F224" s="153" t="s">
        <v>271</v>
      </c>
      <c r="G224" s="29"/>
      <c r="H224" s="29"/>
      <c r="I224" s="29"/>
      <c r="J224" s="29"/>
      <c r="K224" s="29"/>
      <c r="L224" s="30"/>
      <c r="M224" s="154"/>
      <c r="N224" s="155"/>
      <c r="O224" s="55"/>
      <c r="P224" s="55"/>
      <c r="Q224" s="55"/>
      <c r="R224" s="55"/>
      <c r="S224" s="55"/>
      <c r="T224" s="56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T224" s="17" t="s">
        <v>125</v>
      </c>
      <c r="AU224" s="17" t="s">
        <v>80</v>
      </c>
    </row>
    <row r="225" spans="1:65" s="2" customFormat="1" ht="16.5" customHeight="1" x14ac:dyDescent="0.2">
      <c r="A225" s="29"/>
      <c r="B225" s="138"/>
      <c r="C225" s="139" t="s">
        <v>223</v>
      </c>
      <c r="D225" s="139" t="s">
        <v>120</v>
      </c>
      <c r="E225" s="140" t="s">
        <v>273</v>
      </c>
      <c r="F225" s="141" t="s">
        <v>274</v>
      </c>
      <c r="G225" s="142" t="s">
        <v>177</v>
      </c>
      <c r="H225" s="143">
        <v>0.75</v>
      </c>
      <c r="I225" s="144"/>
      <c r="J225" s="144">
        <f>ROUND(I225*H225,2)</f>
        <v>0</v>
      </c>
      <c r="K225" s="145"/>
      <c r="L225" s="30"/>
      <c r="M225" s="146" t="s">
        <v>1</v>
      </c>
      <c r="N225" s="147" t="s">
        <v>36</v>
      </c>
      <c r="O225" s="148">
        <v>0</v>
      </c>
      <c r="P225" s="148">
        <f>O225*H225</f>
        <v>0</v>
      </c>
      <c r="Q225" s="148">
        <v>0</v>
      </c>
      <c r="R225" s="148">
        <f>Q225*H225</f>
        <v>0</v>
      </c>
      <c r="S225" s="148">
        <v>0</v>
      </c>
      <c r="T225" s="149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0" t="s">
        <v>154</v>
      </c>
      <c r="AT225" s="150" t="s">
        <v>120</v>
      </c>
      <c r="AU225" s="150" t="s">
        <v>80</v>
      </c>
      <c r="AY225" s="17" t="s">
        <v>117</v>
      </c>
      <c r="BE225" s="151">
        <f>IF(N225="základní",J225,0)</f>
        <v>0</v>
      </c>
      <c r="BF225" s="151">
        <f>IF(N225="snížená",J225,0)</f>
        <v>0</v>
      </c>
      <c r="BG225" s="151">
        <f>IF(N225="zákl. přenesená",J225,0)</f>
        <v>0</v>
      </c>
      <c r="BH225" s="151">
        <f>IF(N225="sníž. přenesená",J225,0)</f>
        <v>0</v>
      </c>
      <c r="BI225" s="151">
        <f>IF(N225="nulová",J225,0)</f>
        <v>0</v>
      </c>
      <c r="BJ225" s="17" t="s">
        <v>78</v>
      </c>
      <c r="BK225" s="151">
        <f>ROUND(I225*H225,2)</f>
        <v>0</v>
      </c>
      <c r="BL225" s="17" t="s">
        <v>154</v>
      </c>
      <c r="BM225" s="150" t="s">
        <v>275</v>
      </c>
    </row>
    <row r="226" spans="1:65" s="2" customFormat="1" x14ac:dyDescent="0.2">
      <c r="A226" s="29"/>
      <c r="B226" s="30"/>
      <c r="C226" s="29"/>
      <c r="D226" s="152" t="s">
        <v>125</v>
      </c>
      <c r="E226" s="29"/>
      <c r="F226" s="153" t="s">
        <v>274</v>
      </c>
      <c r="G226" s="29"/>
      <c r="H226" s="29"/>
      <c r="I226" s="29"/>
      <c r="J226" s="29"/>
      <c r="K226" s="29"/>
      <c r="L226" s="30"/>
      <c r="M226" s="154"/>
      <c r="N226" s="155"/>
      <c r="O226" s="55"/>
      <c r="P226" s="55"/>
      <c r="Q226" s="55"/>
      <c r="R226" s="55"/>
      <c r="S226" s="55"/>
      <c r="T226" s="56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T226" s="17" t="s">
        <v>125</v>
      </c>
      <c r="AU226" s="17" t="s">
        <v>80</v>
      </c>
    </row>
    <row r="227" spans="1:65" s="2" customFormat="1" ht="24.2" customHeight="1" x14ac:dyDescent="0.2">
      <c r="A227" s="29"/>
      <c r="B227" s="138"/>
      <c r="C227" s="139" t="s">
        <v>276</v>
      </c>
      <c r="D227" s="139" t="s">
        <v>120</v>
      </c>
      <c r="E227" s="140" t="s">
        <v>277</v>
      </c>
      <c r="F227" s="141" t="s">
        <v>278</v>
      </c>
      <c r="G227" s="142" t="s">
        <v>216</v>
      </c>
      <c r="H227" s="143">
        <v>432.6</v>
      </c>
      <c r="I227" s="144"/>
      <c r="J227" s="144">
        <f>ROUND(I227*H227,2)</f>
        <v>0</v>
      </c>
      <c r="K227" s="145"/>
      <c r="L227" s="30"/>
      <c r="M227" s="146" t="s">
        <v>1</v>
      </c>
      <c r="N227" s="147" t="s">
        <v>36</v>
      </c>
      <c r="O227" s="148">
        <v>0</v>
      </c>
      <c r="P227" s="148">
        <f>O227*H227</f>
        <v>0</v>
      </c>
      <c r="Q227" s="148">
        <v>0</v>
      </c>
      <c r="R227" s="148">
        <f>Q227*H227</f>
        <v>0</v>
      </c>
      <c r="S227" s="148">
        <v>0</v>
      </c>
      <c r="T227" s="149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0" t="s">
        <v>154</v>
      </c>
      <c r="AT227" s="150" t="s">
        <v>120</v>
      </c>
      <c r="AU227" s="150" t="s">
        <v>80</v>
      </c>
      <c r="AY227" s="17" t="s">
        <v>117</v>
      </c>
      <c r="BE227" s="151">
        <f>IF(N227="základní",J227,0)</f>
        <v>0</v>
      </c>
      <c r="BF227" s="151">
        <f>IF(N227="snížená",J227,0)</f>
        <v>0</v>
      </c>
      <c r="BG227" s="151">
        <f>IF(N227="zákl. přenesená",J227,0)</f>
        <v>0</v>
      </c>
      <c r="BH227" s="151">
        <f>IF(N227="sníž. přenesená",J227,0)</f>
        <v>0</v>
      </c>
      <c r="BI227" s="151">
        <f>IF(N227="nulová",J227,0)</f>
        <v>0</v>
      </c>
      <c r="BJ227" s="17" t="s">
        <v>78</v>
      </c>
      <c r="BK227" s="151">
        <f>ROUND(I227*H227,2)</f>
        <v>0</v>
      </c>
      <c r="BL227" s="17" t="s">
        <v>154</v>
      </c>
      <c r="BM227" s="150" t="s">
        <v>279</v>
      </c>
    </row>
    <row r="228" spans="1:65" s="2" customFormat="1" ht="19.5" x14ac:dyDescent="0.2">
      <c r="A228" s="29"/>
      <c r="B228" s="30"/>
      <c r="C228" s="29"/>
      <c r="D228" s="152" t="s">
        <v>125</v>
      </c>
      <c r="E228" s="29"/>
      <c r="F228" s="153" t="s">
        <v>278</v>
      </c>
      <c r="G228" s="29"/>
      <c r="H228" s="29"/>
      <c r="I228" s="29"/>
      <c r="J228" s="29"/>
      <c r="K228" s="29"/>
      <c r="L228" s="30"/>
      <c r="M228" s="154"/>
      <c r="N228" s="155"/>
      <c r="O228" s="55"/>
      <c r="P228" s="55"/>
      <c r="Q228" s="55"/>
      <c r="R228" s="55"/>
      <c r="S228" s="55"/>
      <c r="T228" s="56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T228" s="17" t="s">
        <v>125</v>
      </c>
      <c r="AU228" s="17" t="s">
        <v>80</v>
      </c>
    </row>
    <row r="229" spans="1:65" s="12" customFormat="1" ht="54" customHeight="1" x14ac:dyDescent="0.2">
      <c r="B229" s="126"/>
      <c r="D229" s="127" t="s">
        <v>70</v>
      </c>
      <c r="E229" s="128" t="s">
        <v>280</v>
      </c>
      <c r="F229" s="128" t="s">
        <v>281</v>
      </c>
      <c r="J229" s="129">
        <f>BK229</f>
        <v>0</v>
      </c>
      <c r="L229" s="126"/>
      <c r="M229" s="130"/>
      <c r="N229" s="131"/>
      <c r="O229" s="131"/>
      <c r="P229" s="132">
        <f>SUM(P230:P235)</f>
        <v>0</v>
      </c>
      <c r="Q229" s="131"/>
      <c r="R229" s="132">
        <f>SUM(R230:R235)</f>
        <v>0</v>
      </c>
      <c r="S229" s="131"/>
      <c r="T229" s="133">
        <f>SUM(T230:T235)</f>
        <v>0</v>
      </c>
      <c r="AR229" s="127" t="s">
        <v>139</v>
      </c>
      <c r="AT229" s="134" t="s">
        <v>70</v>
      </c>
      <c r="AU229" s="134" t="s">
        <v>71</v>
      </c>
      <c r="AY229" s="127" t="s">
        <v>117</v>
      </c>
      <c r="BK229" s="135">
        <f>SUM(BK230:BK235)</f>
        <v>0</v>
      </c>
    </row>
    <row r="230" spans="1:65" s="2" customFormat="1" ht="16.5" customHeight="1" x14ac:dyDescent="0.2">
      <c r="A230" s="29"/>
      <c r="B230" s="138"/>
      <c r="C230" s="139" t="s">
        <v>282</v>
      </c>
      <c r="D230" s="139" t="s">
        <v>120</v>
      </c>
      <c r="E230" s="140" t="s">
        <v>283</v>
      </c>
      <c r="F230" s="141" t="s">
        <v>284</v>
      </c>
      <c r="G230" s="142" t="s">
        <v>206</v>
      </c>
      <c r="H230" s="143">
        <v>1</v>
      </c>
      <c r="I230" s="144"/>
      <c r="J230" s="144">
        <f>ROUND(I230*H230,2)</f>
        <v>0</v>
      </c>
      <c r="K230" s="145"/>
      <c r="L230" s="30"/>
      <c r="M230" s="146" t="s">
        <v>1</v>
      </c>
      <c r="N230" s="147" t="s">
        <v>36</v>
      </c>
      <c r="O230" s="148">
        <v>0</v>
      </c>
      <c r="P230" s="148">
        <f>O230*H230</f>
        <v>0</v>
      </c>
      <c r="Q230" s="148">
        <v>0</v>
      </c>
      <c r="R230" s="148">
        <f>Q230*H230</f>
        <v>0</v>
      </c>
      <c r="S230" s="148">
        <v>0</v>
      </c>
      <c r="T230" s="149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0" t="s">
        <v>124</v>
      </c>
      <c r="AT230" s="150" t="s">
        <v>120</v>
      </c>
      <c r="AU230" s="150" t="s">
        <v>78</v>
      </c>
      <c r="AY230" s="17" t="s">
        <v>117</v>
      </c>
      <c r="BE230" s="151">
        <f>IF(N230="základní",J230,0)</f>
        <v>0</v>
      </c>
      <c r="BF230" s="151">
        <f>IF(N230="snížená",J230,0)</f>
        <v>0</v>
      </c>
      <c r="BG230" s="151">
        <f>IF(N230="zákl. přenesená",J230,0)</f>
        <v>0</v>
      </c>
      <c r="BH230" s="151">
        <f>IF(N230="sníž. přenesená",J230,0)</f>
        <v>0</v>
      </c>
      <c r="BI230" s="151">
        <f>IF(N230="nulová",J230,0)</f>
        <v>0</v>
      </c>
      <c r="BJ230" s="17" t="s">
        <v>78</v>
      </c>
      <c r="BK230" s="151">
        <f>ROUND(I230*H230,2)</f>
        <v>0</v>
      </c>
      <c r="BL230" s="17" t="s">
        <v>124</v>
      </c>
      <c r="BM230" s="150" t="s">
        <v>285</v>
      </c>
    </row>
    <row r="231" spans="1:65" s="2" customFormat="1" x14ac:dyDescent="0.2">
      <c r="A231" s="29"/>
      <c r="B231" s="30"/>
      <c r="C231" s="29"/>
      <c r="D231" s="152" t="s">
        <v>125</v>
      </c>
      <c r="E231" s="29"/>
      <c r="F231" s="153" t="s">
        <v>284</v>
      </c>
      <c r="G231" s="29"/>
      <c r="H231" s="29"/>
      <c r="I231" s="29"/>
      <c r="J231" s="29"/>
      <c r="K231" s="29"/>
      <c r="L231" s="30"/>
      <c r="M231" s="154"/>
      <c r="N231" s="155"/>
      <c r="O231" s="55"/>
      <c r="P231" s="55"/>
      <c r="Q231" s="55"/>
      <c r="R231" s="55"/>
      <c r="S231" s="55"/>
      <c r="T231" s="56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T231" s="17" t="s">
        <v>125</v>
      </c>
      <c r="AU231" s="17" t="s">
        <v>78</v>
      </c>
    </row>
    <row r="232" spans="1:65" s="2" customFormat="1" ht="16.5" customHeight="1" x14ac:dyDescent="0.2">
      <c r="A232" s="29"/>
      <c r="B232" s="138"/>
      <c r="C232" s="139" t="s">
        <v>224</v>
      </c>
      <c r="D232" s="139" t="s">
        <v>120</v>
      </c>
      <c r="E232" s="140" t="s">
        <v>286</v>
      </c>
      <c r="F232" s="141" t="s">
        <v>287</v>
      </c>
      <c r="G232" s="142" t="s">
        <v>206</v>
      </c>
      <c r="H232" s="143">
        <v>1</v>
      </c>
      <c r="I232" s="144"/>
      <c r="J232" s="144">
        <f>ROUND(I232*H232,2)</f>
        <v>0</v>
      </c>
      <c r="K232" s="145"/>
      <c r="L232" s="30"/>
      <c r="M232" s="146" t="s">
        <v>1</v>
      </c>
      <c r="N232" s="147" t="s">
        <v>36</v>
      </c>
      <c r="O232" s="148">
        <v>0</v>
      </c>
      <c r="P232" s="148">
        <f>O232*H232</f>
        <v>0</v>
      </c>
      <c r="Q232" s="148">
        <v>0</v>
      </c>
      <c r="R232" s="148">
        <f>Q232*H232</f>
        <v>0</v>
      </c>
      <c r="S232" s="148">
        <v>0</v>
      </c>
      <c r="T232" s="149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0" t="s">
        <v>124</v>
      </c>
      <c r="AT232" s="150" t="s">
        <v>120</v>
      </c>
      <c r="AU232" s="150" t="s">
        <v>78</v>
      </c>
      <c r="AY232" s="17" t="s">
        <v>117</v>
      </c>
      <c r="BE232" s="151">
        <f>IF(N232="základní",J232,0)</f>
        <v>0</v>
      </c>
      <c r="BF232" s="151">
        <f>IF(N232="snížená",J232,0)</f>
        <v>0</v>
      </c>
      <c r="BG232" s="151">
        <f>IF(N232="zákl. přenesená",J232,0)</f>
        <v>0</v>
      </c>
      <c r="BH232" s="151">
        <f>IF(N232="sníž. přenesená",J232,0)</f>
        <v>0</v>
      </c>
      <c r="BI232" s="151">
        <f>IF(N232="nulová",J232,0)</f>
        <v>0</v>
      </c>
      <c r="BJ232" s="17" t="s">
        <v>78</v>
      </c>
      <c r="BK232" s="151">
        <f>ROUND(I232*H232,2)</f>
        <v>0</v>
      </c>
      <c r="BL232" s="17" t="s">
        <v>124</v>
      </c>
      <c r="BM232" s="150" t="s">
        <v>288</v>
      </c>
    </row>
    <row r="233" spans="1:65" s="2" customFormat="1" x14ac:dyDescent="0.2">
      <c r="A233" s="29"/>
      <c r="B233" s="30"/>
      <c r="C233" s="29"/>
      <c r="D233" s="152" t="s">
        <v>125</v>
      </c>
      <c r="E233" s="29"/>
      <c r="F233" s="153" t="s">
        <v>287</v>
      </c>
      <c r="G233" s="29"/>
      <c r="H233" s="29"/>
      <c r="I233" s="29"/>
      <c r="J233" s="29"/>
      <c r="K233" s="29"/>
      <c r="L233" s="30"/>
      <c r="M233" s="154"/>
      <c r="N233" s="155"/>
      <c r="O233" s="55"/>
      <c r="P233" s="55"/>
      <c r="Q233" s="55"/>
      <c r="R233" s="55"/>
      <c r="S233" s="55"/>
      <c r="T233" s="56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T233" s="17" t="s">
        <v>125</v>
      </c>
      <c r="AU233" s="17" t="s">
        <v>78</v>
      </c>
    </row>
    <row r="234" spans="1:65" s="2" customFormat="1" ht="16.5" customHeight="1" x14ac:dyDescent="0.2">
      <c r="A234" s="29"/>
      <c r="B234" s="138"/>
      <c r="C234" s="139" t="s">
        <v>289</v>
      </c>
      <c r="D234" s="139" t="s">
        <v>120</v>
      </c>
      <c r="E234" s="140" t="s">
        <v>290</v>
      </c>
      <c r="F234" s="141" t="s">
        <v>291</v>
      </c>
      <c r="G234" s="142" t="s">
        <v>206</v>
      </c>
      <c r="H234" s="143">
        <v>1</v>
      </c>
      <c r="I234" s="144"/>
      <c r="J234" s="144">
        <f>ROUND(I234*H234,2)</f>
        <v>0</v>
      </c>
      <c r="K234" s="145"/>
      <c r="L234" s="30"/>
      <c r="M234" s="146" t="s">
        <v>1</v>
      </c>
      <c r="N234" s="147" t="s">
        <v>36</v>
      </c>
      <c r="O234" s="148">
        <v>0</v>
      </c>
      <c r="P234" s="148">
        <f>O234*H234</f>
        <v>0</v>
      </c>
      <c r="Q234" s="148">
        <v>0</v>
      </c>
      <c r="R234" s="148">
        <f>Q234*H234</f>
        <v>0</v>
      </c>
      <c r="S234" s="148">
        <v>0</v>
      </c>
      <c r="T234" s="149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0" t="s">
        <v>124</v>
      </c>
      <c r="AT234" s="150" t="s">
        <v>120</v>
      </c>
      <c r="AU234" s="150" t="s">
        <v>78</v>
      </c>
      <c r="AY234" s="17" t="s">
        <v>117</v>
      </c>
      <c r="BE234" s="151">
        <f>IF(N234="základní",J234,0)</f>
        <v>0</v>
      </c>
      <c r="BF234" s="151">
        <f>IF(N234="snížená",J234,0)</f>
        <v>0</v>
      </c>
      <c r="BG234" s="151">
        <f>IF(N234="zákl. přenesená",J234,0)</f>
        <v>0</v>
      </c>
      <c r="BH234" s="151">
        <f>IF(N234="sníž. přenesená",J234,0)</f>
        <v>0</v>
      </c>
      <c r="BI234" s="151">
        <f>IF(N234="nulová",J234,0)</f>
        <v>0</v>
      </c>
      <c r="BJ234" s="17" t="s">
        <v>78</v>
      </c>
      <c r="BK234" s="151">
        <f>ROUND(I234*H234,2)</f>
        <v>0</v>
      </c>
      <c r="BL234" s="17" t="s">
        <v>124</v>
      </c>
      <c r="BM234" s="150" t="s">
        <v>292</v>
      </c>
    </row>
    <row r="235" spans="1:65" s="2" customFormat="1" x14ac:dyDescent="0.2">
      <c r="A235" s="29"/>
      <c r="B235" s="30"/>
      <c r="C235" s="29"/>
      <c r="D235" s="152" t="s">
        <v>125</v>
      </c>
      <c r="E235" s="29"/>
      <c r="F235" s="153" t="s">
        <v>291</v>
      </c>
      <c r="G235" s="29"/>
      <c r="H235" s="29"/>
      <c r="I235" s="29"/>
      <c r="J235" s="29"/>
      <c r="K235" s="29"/>
      <c r="L235" s="30"/>
      <c r="M235" s="186"/>
      <c r="N235" s="187"/>
      <c r="O235" s="188"/>
      <c r="P235" s="188"/>
      <c r="Q235" s="188"/>
      <c r="R235" s="188"/>
      <c r="S235" s="188"/>
      <c r="T235" s="18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T235" s="17" t="s">
        <v>125</v>
      </c>
      <c r="AU235" s="17" t="s">
        <v>78</v>
      </c>
    </row>
    <row r="236" spans="1:65" s="2" customFormat="1" ht="6.95" customHeight="1" x14ac:dyDescent="0.2">
      <c r="A236" s="29"/>
      <c r="B236" s="44"/>
      <c r="C236" s="45"/>
      <c r="D236" s="45"/>
      <c r="E236" s="45"/>
      <c r="F236" s="45"/>
      <c r="G236" s="45"/>
      <c r="H236" s="45"/>
      <c r="I236" s="45"/>
      <c r="J236" s="45"/>
      <c r="K236" s="45"/>
      <c r="L236" s="30"/>
      <c r="M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</row>
  </sheetData>
  <autoFilter ref="C128:K235" xr:uid="{00000000-0009-0000-0000-000001000000}"/>
  <mergeCells count="8">
    <mergeCell ref="E119:H119"/>
    <mergeCell ref="E121:H121"/>
    <mergeCell ref="L2:V2"/>
    <mergeCell ref="E7:H7"/>
    <mergeCell ref="E9:H9"/>
    <mergeCell ref="E27:H27"/>
    <mergeCell ref="E84:H84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778B-2B76-44DC-BC14-967098E253D9}">
  <sheetPr>
    <pageSetUpPr fitToPage="1"/>
  </sheetPr>
  <dimension ref="A1:BJ59"/>
  <sheetViews>
    <sheetView workbookViewId="0">
      <pane ySplit="11" topLeftCell="A12" activePane="bottomLeft" state="frozen"/>
      <selection pane="bottomLeft" activeCell="H24" sqref="H24"/>
    </sheetView>
  </sheetViews>
  <sheetFormatPr defaultColWidth="13.5" defaultRowHeight="12.75" x14ac:dyDescent="0.2"/>
  <cols>
    <col min="1" max="1" width="4.33203125" style="197" customWidth="1"/>
    <col min="2" max="2" width="8.83203125" style="197" customWidth="1"/>
    <col min="3" max="3" width="16.6640625" style="197" customWidth="1"/>
    <col min="4" max="4" width="1.6640625" style="197" customWidth="1"/>
    <col min="5" max="5" width="52" style="197" customWidth="1"/>
    <col min="6" max="6" width="7.5" style="197" customWidth="1"/>
    <col min="7" max="7" width="15" style="197" customWidth="1"/>
    <col min="8" max="8" width="14" style="197" customWidth="1"/>
    <col min="9" max="9" width="16.6640625" style="197" customWidth="1"/>
    <col min="10" max="12" width="13.6640625" style="197" customWidth="1"/>
    <col min="13" max="22" width="13.5" style="197"/>
    <col min="23" max="62" width="14.1640625" style="197" hidden="1" customWidth="1"/>
    <col min="63" max="256" width="13.5" style="197"/>
    <col min="257" max="257" width="4.33203125" style="197" customWidth="1"/>
    <col min="258" max="258" width="8.83203125" style="197" customWidth="1"/>
    <col min="259" max="259" width="16.6640625" style="197" customWidth="1"/>
    <col min="260" max="260" width="1.6640625" style="197" customWidth="1"/>
    <col min="261" max="261" width="52" style="197" customWidth="1"/>
    <col min="262" max="262" width="7.5" style="197" customWidth="1"/>
    <col min="263" max="263" width="15" style="197" customWidth="1"/>
    <col min="264" max="264" width="14" style="197" customWidth="1"/>
    <col min="265" max="265" width="16.6640625" style="197" customWidth="1"/>
    <col min="266" max="268" width="13.6640625" style="197" customWidth="1"/>
    <col min="269" max="278" width="13.5" style="197"/>
    <col min="279" max="318" width="0" style="197" hidden="1" customWidth="1"/>
    <col min="319" max="512" width="13.5" style="197"/>
    <col min="513" max="513" width="4.33203125" style="197" customWidth="1"/>
    <col min="514" max="514" width="8.83203125" style="197" customWidth="1"/>
    <col min="515" max="515" width="16.6640625" style="197" customWidth="1"/>
    <col min="516" max="516" width="1.6640625" style="197" customWidth="1"/>
    <col min="517" max="517" width="52" style="197" customWidth="1"/>
    <col min="518" max="518" width="7.5" style="197" customWidth="1"/>
    <col min="519" max="519" width="15" style="197" customWidth="1"/>
    <col min="520" max="520" width="14" style="197" customWidth="1"/>
    <col min="521" max="521" width="16.6640625" style="197" customWidth="1"/>
    <col min="522" max="524" width="13.6640625" style="197" customWidth="1"/>
    <col min="525" max="534" width="13.5" style="197"/>
    <col min="535" max="574" width="0" style="197" hidden="1" customWidth="1"/>
    <col min="575" max="768" width="13.5" style="197"/>
    <col min="769" max="769" width="4.33203125" style="197" customWidth="1"/>
    <col min="770" max="770" width="8.83203125" style="197" customWidth="1"/>
    <col min="771" max="771" width="16.6640625" style="197" customWidth="1"/>
    <col min="772" max="772" width="1.6640625" style="197" customWidth="1"/>
    <col min="773" max="773" width="52" style="197" customWidth="1"/>
    <col min="774" max="774" width="7.5" style="197" customWidth="1"/>
    <col min="775" max="775" width="15" style="197" customWidth="1"/>
    <col min="776" max="776" width="14" style="197" customWidth="1"/>
    <col min="777" max="777" width="16.6640625" style="197" customWidth="1"/>
    <col min="778" max="780" width="13.6640625" style="197" customWidth="1"/>
    <col min="781" max="790" width="13.5" style="197"/>
    <col min="791" max="830" width="0" style="197" hidden="1" customWidth="1"/>
    <col min="831" max="1024" width="13.5" style="197"/>
    <col min="1025" max="1025" width="4.33203125" style="197" customWidth="1"/>
    <col min="1026" max="1026" width="8.83203125" style="197" customWidth="1"/>
    <col min="1027" max="1027" width="16.6640625" style="197" customWidth="1"/>
    <col min="1028" max="1028" width="1.6640625" style="197" customWidth="1"/>
    <col min="1029" max="1029" width="52" style="197" customWidth="1"/>
    <col min="1030" max="1030" width="7.5" style="197" customWidth="1"/>
    <col min="1031" max="1031" width="15" style="197" customWidth="1"/>
    <col min="1032" max="1032" width="14" style="197" customWidth="1"/>
    <col min="1033" max="1033" width="16.6640625" style="197" customWidth="1"/>
    <col min="1034" max="1036" width="13.6640625" style="197" customWidth="1"/>
    <col min="1037" max="1046" width="13.5" style="197"/>
    <col min="1047" max="1086" width="0" style="197" hidden="1" customWidth="1"/>
    <col min="1087" max="1280" width="13.5" style="197"/>
    <col min="1281" max="1281" width="4.33203125" style="197" customWidth="1"/>
    <col min="1282" max="1282" width="8.83203125" style="197" customWidth="1"/>
    <col min="1283" max="1283" width="16.6640625" style="197" customWidth="1"/>
    <col min="1284" max="1284" width="1.6640625" style="197" customWidth="1"/>
    <col min="1285" max="1285" width="52" style="197" customWidth="1"/>
    <col min="1286" max="1286" width="7.5" style="197" customWidth="1"/>
    <col min="1287" max="1287" width="15" style="197" customWidth="1"/>
    <col min="1288" max="1288" width="14" style="197" customWidth="1"/>
    <col min="1289" max="1289" width="16.6640625" style="197" customWidth="1"/>
    <col min="1290" max="1292" width="13.6640625" style="197" customWidth="1"/>
    <col min="1293" max="1302" width="13.5" style="197"/>
    <col min="1303" max="1342" width="0" style="197" hidden="1" customWidth="1"/>
    <col min="1343" max="1536" width="13.5" style="197"/>
    <col min="1537" max="1537" width="4.33203125" style="197" customWidth="1"/>
    <col min="1538" max="1538" width="8.83203125" style="197" customWidth="1"/>
    <col min="1539" max="1539" width="16.6640625" style="197" customWidth="1"/>
    <col min="1540" max="1540" width="1.6640625" style="197" customWidth="1"/>
    <col min="1541" max="1541" width="52" style="197" customWidth="1"/>
    <col min="1542" max="1542" width="7.5" style="197" customWidth="1"/>
    <col min="1543" max="1543" width="15" style="197" customWidth="1"/>
    <col min="1544" max="1544" width="14" style="197" customWidth="1"/>
    <col min="1545" max="1545" width="16.6640625" style="197" customWidth="1"/>
    <col min="1546" max="1548" width="13.6640625" style="197" customWidth="1"/>
    <col min="1549" max="1558" width="13.5" style="197"/>
    <col min="1559" max="1598" width="0" style="197" hidden="1" customWidth="1"/>
    <col min="1599" max="1792" width="13.5" style="197"/>
    <col min="1793" max="1793" width="4.33203125" style="197" customWidth="1"/>
    <col min="1794" max="1794" width="8.83203125" style="197" customWidth="1"/>
    <col min="1795" max="1795" width="16.6640625" style="197" customWidth="1"/>
    <col min="1796" max="1796" width="1.6640625" style="197" customWidth="1"/>
    <col min="1797" max="1797" width="52" style="197" customWidth="1"/>
    <col min="1798" max="1798" width="7.5" style="197" customWidth="1"/>
    <col min="1799" max="1799" width="15" style="197" customWidth="1"/>
    <col min="1800" max="1800" width="14" style="197" customWidth="1"/>
    <col min="1801" max="1801" width="16.6640625" style="197" customWidth="1"/>
    <col min="1802" max="1804" width="13.6640625" style="197" customWidth="1"/>
    <col min="1805" max="1814" width="13.5" style="197"/>
    <col min="1815" max="1854" width="0" style="197" hidden="1" customWidth="1"/>
    <col min="1855" max="2048" width="13.5" style="197"/>
    <col min="2049" max="2049" width="4.33203125" style="197" customWidth="1"/>
    <col min="2050" max="2050" width="8.83203125" style="197" customWidth="1"/>
    <col min="2051" max="2051" width="16.6640625" style="197" customWidth="1"/>
    <col min="2052" max="2052" width="1.6640625" style="197" customWidth="1"/>
    <col min="2053" max="2053" width="52" style="197" customWidth="1"/>
    <col min="2054" max="2054" width="7.5" style="197" customWidth="1"/>
    <col min="2055" max="2055" width="15" style="197" customWidth="1"/>
    <col min="2056" max="2056" width="14" style="197" customWidth="1"/>
    <col min="2057" max="2057" width="16.6640625" style="197" customWidth="1"/>
    <col min="2058" max="2060" width="13.6640625" style="197" customWidth="1"/>
    <col min="2061" max="2070" width="13.5" style="197"/>
    <col min="2071" max="2110" width="0" style="197" hidden="1" customWidth="1"/>
    <col min="2111" max="2304" width="13.5" style="197"/>
    <col min="2305" max="2305" width="4.33203125" style="197" customWidth="1"/>
    <col min="2306" max="2306" width="8.83203125" style="197" customWidth="1"/>
    <col min="2307" max="2307" width="16.6640625" style="197" customWidth="1"/>
    <col min="2308" max="2308" width="1.6640625" style="197" customWidth="1"/>
    <col min="2309" max="2309" width="52" style="197" customWidth="1"/>
    <col min="2310" max="2310" width="7.5" style="197" customWidth="1"/>
    <col min="2311" max="2311" width="15" style="197" customWidth="1"/>
    <col min="2312" max="2312" width="14" style="197" customWidth="1"/>
    <col min="2313" max="2313" width="16.6640625" style="197" customWidth="1"/>
    <col min="2314" max="2316" width="13.6640625" style="197" customWidth="1"/>
    <col min="2317" max="2326" width="13.5" style="197"/>
    <col min="2327" max="2366" width="0" style="197" hidden="1" customWidth="1"/>
    <col min="2367" max="2560" width="13.5" style="197"/>
    <col min="2561" max="2561" width="4.33203125" style="197" customWidth="1"/>
    <col min="2562" max="2562" width="8.83203125" style="197" customWidth="1"/>
    <col min="2563" max="2563" width="16.6640625" style="197" customWidth="1"/>
    <col min="2564" max="2564" width="1.6640625" style="197" customWidth="1"/>
    <col min="2565" max="2565" width="52" style="197" customWidth="1"/>
    <col min="2566" max="2566" width="7.5" style="197" customWidth="1"/>
    <col min="2567" max="2567" width="15" style="197" customWidth="1"/>
    <col min="2568" max="2568" width="14" style="197" customWidth="1"/>
    <col min="2569" max="2569" width="16.6640625" style="197" customWidth="1"/>
    <col min="2570" max="2572" width="13.6640625" style="197" customWidth="1"/>
    <col min="2573" max="2582" width="13.5" style="197"/>
    <col min="2583" max="2622" width="0" style="197" hidden="1" customWidth="1"/>
    <col min="2623" max="2816" width="13.5" style="197"/>
    <col min="2817" max="2817" width="4.33203125" style="197" customWidth="1"/>
    <col min="2818" max="2818" width="8.83203125" style="197" customWidth="1"/>
    <col min="2819" max="2819" width="16.6640625" style="197" customWidth="1"/>
    <col min="2820" max="2820" width="1.6640625" style="197" customWidth="1"/>
    <col min="2821" max="2821" width="52" style="197" customWidth="1"/>
    <col min="2822" max="2822" width="7.5" style="197" customWidth="1"/>
    <col min="2823" max="2823" width="15" style="197" customWidth="1"/>
    <col min="2824" max="2824" width="14" style="197" customWidth="1"/>
    <col min="2825" max="2825" width="16.6640625" style="197" customWidth="1"/>
    <col min="2826" max="2828" width="13.6640625" style="197" customWidth="1"/>
    <col min="2829" max="2838" width="13.5" style="197"/>
    <col min="2839" max="2878" width="0" style="197" hidden="1" customWidth="1"/>
    <col min="2879" max="3072" width="13.5" style="197"/>
    <col min="3073" max="3073" width="4.33203125" style="197" customWidth="1"/>
    <col min="3074" max="3074" width="8.83203125" style="197" customWidth="1"/>
    <col min="3075" max="3075" width="16.6640625" style="197" customWidth="1"/>
    <col min="3076" max="3076" width="1.6640625" style="197" customWidth="1"/>
    <col min="3077" max="3077" width="52" style="197" customWidth="1"/>
    <col min="3078" max="3078" width="7.5" style="197" customWidth="1"/>
    <col min="3079" max="3079" width="15" style="197" customWidth="1"/>
    <col min="3080" max="3080" width="14" style="197" customWidth="1"/>
    <col min="3081" max="3081" width="16.6640625" style="197" customWidth="1"/>
    <col min="3082" max="3084" width="13.6640625" style="197" customWidth="1"/>
    <col min="3085" max="3094" width="13.5" style="197"/>
    <col min="3095" max="3134" width="0" style="197" hidden="1" customWidth="1"/>
    <col min="3135" max="3328" width="13.5" style="197"/>
    <col min="3329" max="3329" width="4.33203125" style="197" customWidth="1"/>
    <col min="3330" max="3330" width="8.83203125" style="197" customWidth="1"/>
    <col min="3331" max="3331" width="16.6640625" style="197" customWidth="1"/>
    <col min="3332" max="3332" width="1.6640625" style="197" customWidth="1"/>
    <col min="3333" max="3333" width="52" style="197" customWidth="1"/>
    <col min="3334" max="3334" width="7.5" style="197" customWidth="1"/>
    <col min="3335" max="3335" width="15" style="197" customWidth="1"/>
    <col min="3336" max="3336" width="14" style="197" customWidth="1"/>
    <col min="3337" max="3337" width="16.6640625" style="197" customWidth="1"/>
    <col min="3338" max="3340" width="13.6640625" style="197" customWidth="1"/>
    <col min="3341" max="3350" width="13.5" style="197"/>
    <col min="3351" max="3390" width="0" style="197" hidden="1" customWidth="1"/>
    <col min="3391" max="3584" width="13.5" style="197"/>
    <col min="3585" max="3585" width="4.33203125" style="197" customWidth="1"/>
    <col min="3586" max="3586" width="8.83203125" style="197" customWidth="1"/>
    <col min="3587" max="3587" width="16.6640625" style="197" customWidth="1"/>
    <col min="3588" max="3588" width="1.6640625" style="197" customWidth="1"/>
    <col min="3589" max="3589" width="52" style="197" customWidth="1"/>
    <col min="3590" max="3590" width="7.5" style="197" customWidth="1"/>
    <col min="3591" max="3591" width="15" style="197" customWidth="1"/>
    <col min="3592" max="3592" width="14" style="197" customWidth="1"/>
    <col min="3593" max="3593" width="16.6640625" style="197" customWidth="1"/>
    <col min="3594" max="3596" width="13.6640625" style="197" customWidth="1"/>
    <col min="3597" max="3606" width="13.5" style="197"/>
    <col min="3607" max="3646" width="0" style="197" hidden="1" customWidth="1"/>
    <col min="3647" max="3840" width="13.5" style="197"/>
    <col min="3841" max="3841" width="4.33203125" style="197" customWidth="1"/>
    <col min="3842" max="3842" width="8.83203125" style="197" customWidth="1"/>
    <col min="3843" max="3843" width="16.6640625" style="197" customWidth="1"/>
    <col min="3844" max="3844" width="1.6640625" style="197" customWidth="1"/>
    <col min="3845" max="3845" width="52" style="197" customWidth="1"/>
    <col min="3846" max="3846" width="7.5" style="197" customWidth="1"/>
    <col min="3847" max="3847" width="15" style="197" customWidth="1"/>
    <col min="3848" max="3848" width="14" style="197" customWidth="1"/>
    <col min="3849" max="3849" width="16.6640625" style="197" customWidth="1"/>
    <col min="3850" max="3852" width="13.6640625" style="197" customWidth="1"/>
    <col min="3853" max="3862" width="13.5" style="197"/>
    <col min="3863" max="3902" width="0" style="197" hidden="1" customWidth="1"/>
    <col min="3903" max="4096" width="13.5" style="197"/>
    <col min="4097" max="4097" width="4.33203125" style="197" customWidth="1"/>
    <col min="4098" max="4098" width="8.83203125" style="197" customWidth="1"/>
    <col min="4099" max="4099" width="16.6640625" style="197" customWidth="1"/>
    <col min="4100" max="4100" width="1.6640625" style="197" customWidth="1"/>
    <col min="4101" max="4101" width="52" style="197" customWidth="1"/>
    <col min="4102" max="4102" width="7.5" style="197" customWidth="1"/>
    <col min="4103" max="4103" width="15" style="197" customWidth="1"/>
    <col min="4104" max="4104" width="14" style="197" customWidth="1"/>
    <col min="4105" max="4105" width="16.6640625" style="197" customWidth="1"/>
    <col min="4106" max="4108" width="13.6640625" style="197" customWidth="1"/>
    <col min="4109" max="4118" width="13.5" style="197"/>
    <col min="4119" max="4158" width="0" style="197" hidden="1" customWidth="1"/>
    <col min="4159" max="4352" width="13.5" style="197"/>
    <col min="4353" max="4353" width="4.33203125" style="197" customWidth="1"/>
    <col min="4354" max="4354" width="8.83203125" style="197" customWidth="1"/>
    <col min="4355" max="4355" width="16.6640625" style="197" customWidth="1"/>
    <col min="4356" max="4356" width="1.6640625" style="197" customWidth="1"/>
    <col min="4357" max="4357" width="52" style="197" customWidth="1"/>
    <col min="4358" max="4358" width="7.5" style="197" customWidth="1"/>
    <col min="4359" max="4359" width="15" style="197" customWidth="1"/>
    <col min="4360" max="4360" width="14" style="197" customWidth="1"/>
    <col min="4361" max="4361" width="16.6640625" style="197" customWidth="1"/>
    <col min="4362" max="4364" width="13.6640625" style="197" customWidth="1"/>
    <col min="4365" max="4374" width="13.5" style="197"/>
    <col min="4375" max="4414" width="0" style="197" hidden="1" customWidth="1"/>
    <col min="4415" max="4608" width="13.5" style="197"/>
    <col min="4609" max="4609" width="4.33203125" style="197" customWidth="1"/>
    <col min="4610" max="4610" width="8.83203125" style="197" customWidth="1"/>
    <col min="4611" max="4611" width="16.6640625" style="197" customWidth="1"/>
    <col min="4612" max="4612" width="1.6640625" style="197" customWidth="1"/>
    <col min="4613" max="4613" width="52" style="197" customWidth="1"/>
    <col min="4614" max="4614" width="7.5" style="197" customWidth="1"/>
    <col min="4615" max="4615" width="15" style="197" customWidth="1"/>
    <col min="4616" max="4616" width="14" style="197" customWidth="1"/>
    <col min="4617" max="4617" width="16.6640625" style="197" customWidth="1"/>
    <col min="4618" max="4620" width="13.6640625" style="197" customWidth="1"/>
    <col min="4621" max="4630" width="13.5" style="197"/>
    <col min="4631" max="4670" width="0" style="197" hidden="1" customWidth="1"/>
    <col min="4671" max="4864" width="13.5" style="197"/>
    <col min="4865" max="4865" width="4.33203125" style="197" customWidth="1"/>
    <col min="4866" max="4866" width="8.83203125" style="197" customWidth="1"/>
    <col min="4867" max="4867" width="16.6640625" style="197" customWidth="1"/>
    <col min="4868" max="4868" width="1.6640625" style="197" customWidth="1"/>
    <col min="4869" max="4869" width="52" style="197" customWidth="1"/>
    <col min="4870" max="4870" width="7.5" style="197" customWidth="1"/>
    <col min="4871" max="4871" width="15" style="197" customWidth="1"/>
    <col min="4872" max="4872" width="14" style="197" customWidth="1"/>
    <col min="4873" max="4873" width="16.6640625" style="197" customWidth="1"/>
    <col min="4874" max="4876" width="13.6640625" style="197" customWidth="1"/>
    <col min="4877" max="4886" width="13.5" style="197"/>
    <col min="4887" max="4926" width="0" style="197" hidden="1" customWidth="1"/>
    <col min="4927" max="5120" width="13.5" style="197"/>
    <col min="5121" max="5121" width="4.33203125" style="197" customWidth="1"/>
    <col min="5122" max="5122" width="8.83203125" style="197" customWidth="1"/>
    <col min="5123" max="5123" width="16.6640625" style="197" customWidth="1"/>
    <col min="5124" max="5124" width="1.6640625" style="197" customWidth="1"/>
    <col min="5125" max="5125" width="52" style="197" customWidth="1"/>
    <col min="5126" max="5126" width="7.5" style="197" customWidth="1"/>
    <col min="5127" max="5127" width="15" style="197" customWidth="1"/>
    <col min="5128" max="5128" width="14" style="197" customWidth="1"/>
    <col min="5129" max="5129" width="16.6640625" style="197" customWidth="1"/>
    <col min="5130" max="5132" width="13.6640625" style="197" customWidth="1"/>
    <col min="5133" max="5142" width="13.5" style="197"/>
    <col min="5143" max="5182" width="0" style="197" hidden="1" customWidth="1"/>
    <col min="5183" max="5376" width="13.5" style="197"/>
    <col min="5377" max="5377" width="4.33203125" style="197" customWidth="1"/>
    <col min="5378" max="5378" width="8.83203125" style="197" customWidth="1"/>
    <col min="5379" max="5379" width="16.6640625" style="197" customWidth="1"/>
    <col min="5380" max="5380" width="1.6640625" style="197" customWidth="1"/>
    <col min="5381" max="5381" width="52" style="197" customWidth="1"/>
    <col min="5382" max="5382" width="7.5" style="197" customWidth="1"/>
    <col min="5383" max="5383" width="15" style="197" customWidth="1"/>
    <col min="5384" max="5384" width="14" style="197" customWidth="1"/>
    <col min="5385" max="5385" width="16.6640625" style="197" customWidth="1"/>
    <col min="5386" max="5388" width="13.6640625" style="197" customWidth="1"/>
    <col min="5389" max="5398" width="13.5" style="197"/>
    <col min="5399" max="5438" width="0" style="197" hidden="1" customWidth="1"/>
    <col min="5439" max="5632" width="13.5" style="197"/>
    <col min="5633" max="5633" width="4.33203125" style="197" customWidth="1"/>
    <col min="5634" max="5634" width="8.83203125" style="197" customWidth="1"/>
    <col min="5635" max="5635" width="16.6640625" style="197" customWidth="1"/>
    <col min="5636" max="5636" width="1.6640625" style="197" customWidth="1"/>
    <col min="5637" max="5637" width="52" style="197" customWidth="1"/>
    <col min="5638" max="5638" width="7.5" style="197" customWidth="1"/>
    <col min="5639" max="5639" width="15" style="197" customWidth="1"/>
    <col min="5640" max="5640" width="14" style="197" customWidth="1"/>
    <col min="5641" max="5641" width="16.6640625" style="197" customWidth="1"/>
    <col min="5642" max="5644" width="13.6640625" style="197" customWidth="1"/>
    <col min="5645" max="5654" width="13.5" style="197"/>
    <col min="5655" max="5694" width="0" style="197" hidden="1" customWidth="1"/>
    <col min="5695" max="5888" width="13.5" style="197"/>
    <col min="5889" max="5889" width="4.33203125" style="197" customWidth="1"/>
    <col min="5890" max="5890" width="8.83203125" style="197" customWidth="1"/>
    <col min="5891" max="5891" width="16.6640625" style="197" customWidth="1"/>
    <col min="5892" max="5892" width="1.6640625" style="197" customWidth="1"/>
    <col min="5893" max="5893" width="52" style="197" customWidth="1"/>
    <col min="5894" max="5894" width="7.5" style="197" customWidth="1"/>
    <col min="5895" max="5895" width="15" style="197" customWidth="1"/>
    <col min="5896" max="5896" width="14" style="197" customWidth="1"/>
    <col min="5897" max="5897" width="16.6640625" style="197" customWidth="1"/>
    <col min="5898" max="5900" width="13.6640625" style="197" customWidth="1"/>
    <col min="5901" max="5910" width="13.5" style="197"/>
    <col min="5911" max="5950" width="0" style="197" hidden="1" customWidth="1"/>
    <col min="5951" max="6144" width="13.5" style="197"/>
    <col min="6145" max="6145" width="4.33203125" style="197" customWidth="1"/>
    <col min="6146" max="6146" width="8.83203125" style="197" customWidth="1"/>
    <col min="6147" max="6147" width="16.6640625" style="197" customWidth="1"/>
    <col min="6148" max="6148" width="1.6640625" style="197" customWidth="1"/>
    <col min="6149" max="6149" width="52" style="197" customWidth="1"/>
    <col min="6150" max="6150" width="7.5" style="197" customWidth="1"/>
    <col min="6151" max="6151" width="15" style="197" customWidth="1"/>
    <col min="6152" max="6152" width="14" style="197" customWidth="1"/>
    <col min="6153" max="6153" width="16.6640625" style="197" customWidth="1"/>
    <col min="6154" max="6156" width="13.6640625" style="197" customWidth="1"/>
    <col min="6157" max="6166" width="13.5" style="197"/>
    <col min="6167" max="6206" width="0" style="197" hidden="1" customWidth="1"/>
    <col min="6207" max="6400" width="13.5" style="197"/>
    <col min="6401" max="6401" width="4.33203125" style="197" customWidth="1"/>
    <col min="6402" max="6402" width="8.83203125" style="197" customWidth="1"/>
    <col min="6403" max="6403" width="16.6640625" style="197" customWidth="1"/>
    <col min="6404" max="6404" width="1.6640625" style="197" customWidth="1"/>
    <col min="6405" max="6405" width="52" style="197" customWidth="1"/>
    <col min="6406" max="6406" width="7.5" style="197" customWidth="1"/>
    <col min="6407" max="6407" width="15" style="197" customWidth="1"/>
    <col min="6408" max="6408" width="14" style="197" customWidth="1"/>
    <col min="6409" max="6409" width="16.6640625" style="197" customWidth="1"/>
    <col min="6410" max="6412" width="13.6640625" style="197" customWidth="1"/>
    <col min="6413" max="6422" width="13.5" style="197"/>
    <col min="6423" max="6462" width="0" style="197" hidden="1" customWidth="1"/>
    <col min="6463" max="6656" width="13.5" style="197"/>
    <col min="6657" max="6657" width="4.33203125" style="197" customWidth="1"/>
    <col min="6658" max="6658" width="8.83203125" style="197" customWidth="1"/>
    <col min="6659" max="6659" width="16.6640625" style="197" customWidth="1"/>
    <col min="6660" max="6660" width="1.6640625" style="197" customWidth="1"/>
    <col min="6661" max="6661" width="52" style="197" customWidth="1"/>
    <col min="6662" max="6662" width="7.5" style="197" customWidth="1"/>
    <col min="6663" max="6663" width="15" style="197" customWidth="1"/>
    <col min="6664" max="6664" width="14" style="197" customWidth="1"/>
    <col min="6665" max="6665" width="16.6640625" style="197" customWidth="1"/>
    <col min="6666" max="6668" width="13.6640625" style="197" customWidth="1"/>
    <col min="6669" max="6678" width="13.5" style="197"/>
    <col min="6679" max="6718" width="0" style="197" hidden="1" customWidth="1"/>
    <col min="6719" max="6912" width="13.5" style="197"/>
    <col min="6913" max="6913" width="4.33203125" style="197" customWidth="1"/>
    <col min="6914" max="6914" width="8.83203125" style="197" customWidth="1"/>
    <col min="6915" max="6915" width="16.6640625" style="197" customWidth="1"/>
    <col min="6916" max="6916" width="1.6640625" style="197" customWidth="1"/>
    <col min="6917" max="6917" width="52" style="197" customWidth="1"/>
    <col min="6918" max="6918" width="7.5" style="197" customWidth="1"/>
    <col min="6919" max="6919" width="15" style="197" customWidth="1"/>
    <col min="6920" max="6920" width="14" style="197" customWidth="1"/>
    <col min="6921" max="6921" width="16.6640625" style="197" customWidth="1"/>
    <col min="6922" max="6924" width="13.6640625" style="197" customWidth="1"/>
    <col min="6925" max="6934" width="13.5" style="197"/>
    <col min="6935" max="6974" width="0" style="197" hidden="1" customWidth="1"/>
    <col min="6975" max="7168" width="13.5" style="197"/>
    <col min="7169" max="7169" width="4.33203125" style="197" customWidth="1"/>
    <col min="7170" max="7170" width="8.83203125" style="197" customWidth="1"/>
    <col min="7171" max="7171" width="16.6640625" style="197" customWidth="1"/>
    <col min="7172" max="7172" width="1.6640625" style="197" customWidth="1"/>
    <col min="7173" max="7173" width="52" style="197" customWidth="1"/>
    <col min="7174" max="7174" width="7.5" style="197" customWidth="1"/>
    <col min="7175" max="7175" width="15" style="197" customWidth="1"/>
    <col min="7176" max="7176" width="14" style="197" customWidth="1"/>
    <col min="7177" max="7177" width="16.6640625" style="197" customWidth="1"/>
    <col min="7178" max="7180" width="13.6640625" style="197" customWidth="1"/>
    <col min="7181" max="7190" width="13.5" style="197"/>
    <col min="7191" max="7230" width="0" style="197" hidden="1" customWidth="1"/>
    <col min="7231" max="7424" width="13.5" style="197"/>
    <col min="7425" max="7425" width="4.33203125" style="197" customWidth="1"/>
    <col min="7426" max="7426" width="8.83203125" style="197" customWidth="1"/>
    <col min="7427" max="7427" width="16.6640625" style="197" customWidth="1"/>
    <col min="7428" max="7428" width="1.6640625" style="197" customWidth="1"/>
    <col min="7429" max="7429" width="52" style="197" customWidth="1"/>
    <col min="7430" max="7430" width="7.5" style="197" customWidth="1"/>
    <col min="7431" max="7431" width="15" style="197" customWidth="1"/>
    <col min="7432" max="7432" width="14" style="197" customWidth="1"/>
    <col min="7433" max="7433" width="16.6640625" style="197" customWidth="1"/>
    <col min="7434" max="7436" width="13.6640625" style="197" customWidth="1"/>
    <col min="7437" max="7446" width="13.5" style="197"/>
    <col min="7447" max="7486" width="0" style="197" hidden="1" customWidth="1"/>
    <col min="7487" max="7680" width="13.5" style="197"/>
    <col min="7681" max="7681" width="4.33203125" style="197" customWidth="1"/>
    <col min="7682" max="7682" width="8.83203125" style="197" customWidth="1"/>
    <col min="7683" max="7683" width="16.6640625" style="197" customWidth="1"/>
    <col min="7684" max="7684" width="1.6640625" style="197" customWidth="1"/>
    <col min="7685" max="7685" width="52" style="197" customWidth="1"/>
    <col min="7686" max="7686" width="7.5" style="197" customWidth="1"/>
    <col min="7687" max="7687" width="15" style="197" customWidth="1"/>
    <col min="7688" max="7688" width="14" style="197" customWidth="1"/>
    <col min="7689" max="7689" width="16.6640625" style="197" customWidth="1"/>
    <col min="7690" max="7692" width="13.6640625" style="197" customWidth="1"/>
    <col min="7693" max="7702" width="13.5" style="197"/>
    <col min="7703" max="7742" width="0" style="197" hidden="1" customWidth="1"/>
    <col min="7743" max="7936" width="13.5" style="197"/>
    <col min="7937" max="7937" width="4.33203125" style="197" customWidth="1"/>
    <col min="7938" max="7938" width="8.83203125" style="197" customWidth="1"/>
    <col min="7939" max="7939" width="16.6640625" style="197" customWidth="1"/>
    <col min="7940" max="7940" width="1.6640625" style="197" customWidth="1"/>
    <col min="7941" max="7941" width="52" style="197" customWidth="1"/>
    <col min="7942" max="7942" width="7.5" style="197" customWidth="1"/>
    <col min="7943" max="7943" width="15" style="197" customWidth="1"/>
    <col min="7944" max="7944" width="14" style="197" customWidth="1"/>
    <col min="7945" max="7945" width="16.6640625" style="197" customWidth="1"/>
    <col min="7946" max="7948" width="13.6640625" style="197" customWidth="1"/>
    <col min="7949" max="7958" width="13.5" style="197"/>
    <col min="7959" max="7998" width="0" style="197" hidden="1" customWidth="1"/>
    <col min="7999" max="8192" width="13.5" style="197"/>
    <col min="8193" max="8193" width="4.33203125" style="197" customWidth="1"/>
    <col min="8194" max="8194" width="8.83203125" style="197" customWidth="1"/>
    <col min="8195" max="8195" width="16.6640625" style="197" customWidth="1"/>
    <col min="8196" max="8196" width="1.6640625" style="197" customWidth="1"/>
    <col min="8197" max="8197" width="52" style="197" customWidth="1"/>
    <col min="8198" max="8198" width="7.5" style="197" customWidth="1"/>
    <col min="8199" max="8199" width="15" style="197" customWidth="1"/>
    <col min="8200" max="8200" width="14" style="197" customWidth="1"/>
    <col min="8201" max="8201" width="16.6640625" style="197" customWidth="1"/>
    <col min="8202" max="8204" width="13.6640625" style="197" customWidth="1"/>
    <col min="8205" max="8214" width="13.5" style="197"/>
    <col min="8215" max="8254" width="0" style="197" hidden="1" customWidth="1"/>
    <col min="8255" max="8448" width="13.5" style="197"/>
    <col min="8449" max="8449" width="4.33203125" style="197" customWidth="1"/>
    <col min="8450" max="8450" width="8.83203125" style="197" customWidth="1"/>
    <col min="8451" max="8451" width="16.6640625" style="197" customWidth="1"/>
    <col min="8452" max="8452" width="1.6640625" style="197" customWidth="1"/>
    <col min="8453" max="8453" width="52" style="197" customWidth="1"/>
    <col min="8454" max="8454" width="7.5" style="197" customWidth="1"/>
    <col min="8455" max="8455" width="15" style="197" customWidth="1"/>
    <col min="8456" max="8456" width="14" style="197" customWidth="1"/>
    <col min="8457" max="8457" width="16.6640625" style="197" customWidth="1"/>
    <col min="8458" max="8460" width="13.6640625" style="197" customWidth="1"/>
    <col min="8461" max="8470" width="13.5" style="197"/>
    <col min="8471" max="8510" width="0" style="197" hidden="1" customWidth="1"/>
    <col min="8511" max="8704" width="13.5" style="197"/>
    <col min="8705" max="8705" width="4.33203125" style="197" customWidth="1"/>
    <col min="8706" max="8706" width="8.83203125" style="197" customWidth="1"/>
    <col min="8707" max="8707" width="16.6640625" style="197" customWidth="1"/>
    <col min="8708" max="8708" width="1.6640625" style="197" customWidth="1"/>
    <col min="8709" max="8709" width="52" style="197" customWidth="1"/>
    <col min="8710" max="8710" width="7.5" style="197" customWidth="1"/>
    <col min="8711" max="8711" width="15" style="197" customWidth="1"/>
    <col min="8712" max="8712" width="14" style="197" customWidth="1"/>
    <col min="8713" max="8713" width="16.6640625" style="197" customWidth="1"/>
    <col min="8714" max="8716" width="13.6640625" style="197" customWidth="1"/>
    <col min="8717" max="8726" width="13.5" style="197"/>
    <col min="8727" max="8766" width="0" style="197" hidden="1" customWidth="1"/>
    <col min="8767" max="8960" width="13.5" style="197"/>
    <col min="8961" max="8961" width="4.33203125" style="197" customWidth="1"/>
    <col min="8962" max="8962" width="8.83203125" style="197" customWidth="1"/>
    <col min="8963" max="8963" width="16.6640625" style="197" customWidth="1"/>
    <col min="8964" max="8964" width="1.6640625" style="197" customWidth="1"/>
    <col min="8965" max="8965" width="52" style="197" customWidth="1"/>
    <col min="8966" max="8966" width="7.5" style="197" customWidth="1"/>
    <col min="8967" max="8967" width="15" style="197" customWidth="1"/>
    <col min="8968" max="8968" width="14" style="197" customWidth="1"/>
    <col min="8969" max="8969" width="16.6640625" style="197" customWidth="1"/>
    <col min="8970" max="8972" width="13.6640625" style="197" customWidth="1"/>
    <col min="8973" max="8982" width="13.5" style="197"/>
    <col min="8983" max="9022" width="0" style="197" hidden="1" customWidth="1"/>
    <col min="9023" max="9216" width="13.5" style="197"/>
    <col min="9217" max="9217" width="4.33203125" style="197" customWidth="1"/>
    <col min="9218" max="9218" width="8.83203125" style="197" customWidth="1"/>
    <col min="9219" max="9219" width="16.6640625" style="197" customWidth="1"/>
    <col min="9220" max="9220" width="1.6640625" style="197" customWidth="1"/>
    <col min="9221" max="9221" width="52" style="197" customWidth="1"/>
    <col min="9222" max="9222" width="7.5" style="197" customWidth="1"/>
    <col min="9223" max="9223" width="15" style="197" customWidth="1"/>
    <col min="9224" max="9224" width="14" style="197" customWidth="1"/>
    <col min="9225" max="9225" width="16.6640625" style="197" customWidth="1"/>
    <col min="9226" max="9228" width="13.6640625" style="197" customWidth="1"/>
    <col min="9229" max="9238" width="13.5" style="197"/>
    <col min="9239" max="9278" width="0" style="197" hidden="1" customWidth="1"/>
    <col min="9279" max="9472" width="13.5" style="197"/>
    <col min="9473" max="9473" width="4.33203125" style="197" customWidth="1"/>
    <col min="9474" max="9474" width="8.83203125" style="197" customWidth="1"/>
    <col min="9475" max="9475" width="16.6640625" style="197" customWidth="1"/>
    <col min="9476" max="9476" width="1.6640625" style="197" customWidth="1"/>
    <col min="9477" max="9477" width="52" style="197" customWidth="1"/>
    <col min="9478" max="9478" width="7.5" style="197" customWidth="1"/>
    <col min="9479" max="9479" width="15" style="197" customWidth="1"/>
    <col min="9480" max="9480" width="14" style="197" customWidth="1"/>
    <col min="9481" max="9481" width="16.6640625" style="197" customWidth="1"/>
    <col min="9482" max="9484" width="13.6640625" style="197" customWidth="1"/>
    <col min="9485" max="9494" width="13.5" style="197"/>
    <col min="9495" max="9534" width="0" style="197" hidden="1" customWidth="1"/>
    <col min="9535" max="9728" width="13.5" style="197"/>
    <col min="9729" max="9729" width="4.33203125" style="197" customWidth="1"/>
    <col min="9730" max="9730" width="8.83203125" style="197" customWidth="1"/>
    <col min="9731" max="9731" width="16.6640625" style="197" customWidth="1"/>
    <col min="9732" max="9732" width="1.6640625" style="197" customWidth="1"/>
    <col min="9733" max="9733" width="52" style="197" customWidth="1"/>
    <col min="9734" max="9734" width="7.5" style="197" customWidth="1"/>
    <col min="9735" max="9735" width="15" style="197" customWidth="1"/>
    <col min="9736" max="9736" width="14" style="197" customWidth="1"/>
    <col min="9737" max="9737" width="16.6640625" style="197" customWidth="1"/>
    <col min="9738" max="9740" width="13.6640625" style="197" customWidth="1"/>
    <col min="9741" max="9750" width="13.5" style="197"/>
    <col min="9751" max="9790" width="0" style="197" hidden="1" customWidth="1"/>
    <col min="9791" max="9984" width="13.5" style="197"/>
    <col min="9985" max="9985" width="4.33203125" style="197" customWidth="1"/>
    <col min="9986" max="9986" width="8.83203125" style="197" customWidth="1"/>
    <col min="9987" max="9987" width="16.6640625" style="197" customWidth="1"/>
    <col min="9988" max="9988" width="1.6640625" style="197" customWidth="1"/>
    <col min="9989" max="9989" width="52" style="197" customWidth="1"/>
    <col min="9990" max="9990" width="7.5" style="197" customWidth="1"/>
    <col min="9991" max="9991" width="15" style="197" customWidth="1"/>
    <col min="9992" max="9992" width="14" style="197" customWidth="1"/>
    <col min="9993" max="9993" width="16.6640625" style="197" customWidth="1"/>
    <col min="9994" max="9996" width="13.6640625" style="197" customWidth="1"/>
    <col min="9997" max="10006" width="13.5" style="197"/>
    <col min="10007" max="10046" width="0" style="197" hidden="1" customWidth="1"/>
    <col min="10047" max="10240" width="13.5" style="197"/>
    <col min="10241" max="10241" width="4.33203125" style="197" customWidth="1"/>
    <col min="10242" max="10242" width="8.83203125" style="197" customWidth="1"/>
    <col min="10243" max="10243" width="16.6640625" style="197" customWidth="1"/>
    <col min="10244" max="10244" width="1.6640625" style="197" customWidth="1"/>
    <col min="10245" max="10245" width="52" style="197" customWidth="1"/>
    <col min="10246" max="10246" width="7.5" style="197" customWidth="1"/>
    <col min="10247" max="10247" width="15" style="197" customWidth="1"/>
    <col min="10248" max="10248" width="14" style="197" customWidth="1"/>
    <col min="10249" max="10249" width="16.6640625" style="197" customWidth="1"/>
    <col min="10250" max="10252" width="13.6640625" style="197" customWidth="1"/>
    <col min="10253" max="10262" width="13.5" style="197"/>
    <col min="10263" max="10302" width="0" style="197" hidden="1" customWidth="1"/>
    <col min="10303" max="10496" width="13.5" style="197"/>
    <col min="10497" max="10497" width="4.33203125" style="197" customWidth="1"/>
    <col min="10498" max="10498" width="8.83203125" style="197" customWidth="1"/>
    <col min="10499" max="10499" width="16.6640625" style="197" customWidth="1"/>
    <col min="10500" max="10500" width="1.6640625" style="197" customWidth="1"/>
    <col min="10501" max="10501" width="52" style="197" customWidth="1"/>
    <col min="10502" max="10502" width="7.5" style="197" customWidth="1"/>
    <col min="10503" max="10503" width="15" style="197" customWidth="1"/>
    <col min="10504" max="10504" width="14" style="197" customWidth="1"/>
    <col min="10505" max="10505" width="16.6640625" style="197" customWidth="1"/>
    <col min="10506" max="10508" width="13.6640625" style="197" customWidth="1"/>
    <col min="10509" max="10518" width="13.5" style="197"/>
    <col min="10519" max="10558" width="0" style="197" hidden="1" customWidth="1"/>
    <col min="10559" max="10752" width="13.5" style="197"/>
    <col min="10753" max="10753" width="4.33203125" style="197" customWidth="1"/>
    <col min="10754" max="10754" width="8.83203125" style="197" customWidth="1"/>
    <col min="10755" max="10755" width="16.6640625" style="197" customWidth="1"/>
    <col min="10756" max="10756" width="1.6640625" style="197" customWidth="1"/>
    <col min="10757" max="10757" width="52" style="197" customWidth="1"/>
    <col min="10758" max="10758" width="7.5" style="197" customWidth="1"/>
    <col min="10759" max="10759" width="15" style="197" customWidth="1"/>
    <col min="10760" max="10760" width="14" style="197" customWidth="1"/>
    <col min="10761" max="10761" width="16.6640625" style="197" customWidth="1"/>
    <col min="10762" max="10764" width="13.6640625" style="197" customWidth="1"/>
    <col min="10765" max="10774" width="13.5" style="197"/>
    <col min="10775" max="10814" width="0" style="197" hidden="1" customWidth="1"/>
    <col min="10815" max="11008" width="13.5" style="197"/>
    <col min="11009" max="11009" width="4.33203125" style="197" customWidth="1"/>
    <col min="11010" max="11010" width="8.83203125" style="197" customWidth="1"/>
    <col min="11011" max="11011" width="16.6640625" style="197" customWidth="1"/>
    <col min="11012" max="11012" width="1.6640625" style="197" customWidth="1"/>
    <col min="11013" max="11013" width="52" style="197" customWidth="1"/>
    <col min="11014" max="11014" width="7.5" style="197" customWidth="1"/>
    <col min="11015" max="11015" width="15" style="197" customWidth="1"/>
    <col min="11016" max="11016" width="14" style="197" customWidth="1"/>
    <col min="11017" max="11017" width="16.6640625" style="197" customWidth="1"/>
    <col min="11018" max="11020" width="13.6640625" style="197" customWidth="1"/>
    <col min="11021" max="11030" width="13.5" style="197"/>
    <col min="11031" max="11070" width="0" style="197" hidden="1" customWidth="1"/>
    <col min="11071" max="11264" width="13.5" style="197"/>
    <col min="11265" max="11265" width="4.33203125" style="197" customWidth="1"/>
    <col min="11266" max="11266" width="8.83203125" style="197" customWidth="1"/>
    <col min="11267" max="11267" width="16.6640625" style="197" customWidth="1"/>
    <col min="11268" max="11268" width="1.6640625" style="197" customWidth="1"/>
    <col min="11269" max="11269" width="52" style="197" customWidth="1"/>
    <col min="11270" max="11270" width="7.5" style="197" customWidth="1"/>
    <col min="11271" max="11271" width="15" style="197" customWidth="1"/>
    <col min="11272" max="11272" width="14" style="197" customWidth="1"/>
    <col min="11273" max="11273" width="16.6640625" style="197" customWidth="1"/>
    <col min="11274" max="11276" width="13.6640625" style="197" customWidth="1"/>
    <col min="11277" max="11286" width="13.5" style="197"/>
    <col min="11287" max="11326" width="0" style="197" hidden="1" customWidth="1"/>
    <col min="11327" max="11520" width="13.5" style="197"/>
    <col min="11521" max="11521" width="4.33203125" style="197" customWidth="1"/>
    <col min="11522" max="11522" width="8.83203125" style="197" customWidth="1"/>
    <col min="11523" max="11523" width="16.6640625" style="197" customWidth="1"/>
    <col min="11524" max="11524" width="1.6640625" style="197" customWidth="1"/>
    <col min="11525" max="11525" width="52" style="197" customWidth="1"/>
    <col min="11526" max="11526" width="7.5" style="197" customWidth="1"/>
    <col min="11527" max="11527" width="15" style="197" customWidth="1"/>
    <col min="11528" max="11528" width="14" style="197" customWidth="1"/>
    <col min="11529" max="11529" width="16.6640625" style="197" customWidth="1"/>
    <col min="11530" max="11532" width="13.6640625" style="197" customWidth="1"/>
    <col min="11533" max="11542" width="13.5" style="197"/>
    <col min="11543" max="11582" width="0" style="197" hidden="1" customWidth="1"/>
    <col min="11583" max="11776" width="13.5" style="197"/>
    <col min="11777" max="11777" width="4.33203125" style="197" customWidth="1"/>
    <col min="11778" max="11778" width="8.83203125" style="197" customWidth="1"/>
    <col min="11779" max="11779" width="16.6640625" style="197" customWidth="1"/>
    <col min="11780" max="11780" width="1.6640625" style="197" customWidth="1"/>
    <col min="11781" max="11781" width="52" style="197" customWidth="1"/>
    <col min="11782" max="11782" width="7.5" style="197" customWidth="1"/>
    <col min="11783" max="11783" width="15" style="197" customWidth="1"/>
    <col min="11784" max="11784" width="14" style="197" customWidth="1"/>
    <col min="11785" max="11785" width="16.6640625" style="197" customWidth="1"/>
    <col min="11786" max="11788" width="13.6640625" style="197" customWidth="1"/>
    <col min="11789" max="11798" width="13.5" style="197"/>
    <col min="11799" max="11838" width="0" style="197" hidden="1" customWidth="1"/>
    <col min="11839" max="12032" width="13.5" style="197"/>
    <col min="12033" max="12033" width="4.33203125" style="197" customWidth="1"/>
    <col min="12034" max="12034" width="8.83203125" style="197" customWidth="1"/>
    <col min="12035" max="12035" width="16.6640625" style="197" customWidth="1"/>
    <col min="12036" max="12036" width="1.6640625" style="197" customWidth="1"/>
    <col min="12037" max="12037" width="52" style="197" customWidth="1"/>
    <col min="12038" max="12038" width="7.5" style="197" customWidth="1"/>
    <col min="12039" max="12039" width="15" style="197" customWidth="1"/>
    <col min="12040" max="12040" width="14" style="197" customWidth="1"/>
    <col min="12041" max="12041" width="16.6640625" style="197" customWidth="1"/>
    <col min="12042" max="12044" width="13.6640625" style="197" customWidth="1"/>
    <col min="12045" max="12054" width="13.5" style="197"/>
    <col min="12055" max="12094" width="0" style="197" hidden="1" customWidth="1"/>
    <col min="12095" max="12288" width="13.5" style="197"/>
    <col min="12289" max="12289" width="4.33203125" style="197" customWidth="1"/>
    <col min="12290" max="12290" width="8.83203125" style="197" customWidth="1"/>
    <col min="12291" max="12291" width="16.6640625" style="197" customWidth="1"/>
    <col min="12292" max="12292" width="1.6640625" style="197" customWidth="1"/>
    <col min="12293" max="12293" width="52" style="197" customWidth="1"/>
    <col min="12294" max="12294" width="7.5" style="197" customWidth="1"/>
    <col min="12295" max="12295" width="15" style="197" customWidth="1"/>
    <col min="12296" max="12296" width="14" style="197" customWidth="1"/>
    <col min="12297" max="12297" width="16.6640625" style="197" customWidth="1"/>
    <col min="12298" max="12300" width="13.6640625" style="197" customWidth="1"/>
    <col min="12301" max="12310" width="13.5" style="197"/>
    <col min="12311" max="12350" width="0" style="197" hidden="1" customWidth="1"/>
    <col min="12351" max="12544" width="13.5" style="197"/>
    <col min="12545" max="12545" width="4.33203125" style="197" customWidth="1"/>
    <col min="12546" max="12546" width="8.83203125" style="197" customWidth="1"/>
    <col min="12547" max="12547" width="16.6640625" style="197" customWidth="1"/>
    <col min="12548" max="12548" width="1.6640625" style="197" customWidth="1"/>
    <col min="12549" max="12549" width="52" style="197" customWidth="1"/>
    <col min="12550" max="12550" width="7.5" style="197" customWidth="1"/>
    <col min="12551" max="12551" width="15" style="197" customWidth="1"/>
    <col min="12552" max="12552" width="14" style="197" customWidth="1"/>
    <col min="12553" max="12553" width="16.6640625" style="197" customWidth="1"/>
    <col min="12554" max="12556" width="13.6640625" style="197" customWidth="1"/>
    <col min="12557" max="12566" width="13.5" style="197"/>
    <col min="12567" max="12606" width="0" style="197" hidden="1" customWidth="1"/>
    <col min="12607" max="12800" width="13.5" style="197"/>
    <col min="12801" max="12801" width="4.33203125" style="197" customWidth="1"/>
    <col min="12802" max="12802" width="8.83203125" style="197" customWidth="1"/>
    <col min="12803" max="12803" width="16.6640625" style="197" customWidth="1"/>
    <col min="12804" max="12804" width="1.6640625" style="197" customWidth="1"/>
    <col min="12805" max="12805" width="52" style="197" customWidth="1"/>
    <col min="12806" max="12806" width="7.5" style="197" customWidth="1"/>
    <col min="12807" max="12807" width="15" style="197" customWidth="1"/>
    <col min="12808" max="12808" width="14" style="197" customWidth="1"/>
    <col min="12809" max="12809" width="16.6640625" style="197" customWidth="1"/>
    <col min="12810" max="12812" width="13.6640625" style="197" customWidth="1"/>
    <col min="12813" max="12822" width="13.5" style="197"/>
    <col min="12823" max="12862" width="0" style="197" hidden="1" customWidth="1"/>
    <col min="12863" max="13056" width="13.5" style="197"/>
    <col min="13057" max="13057" width="4.33203125" style="197" customWidth="1"/>
    <col min="13058" max="13058" width="8.83203125" style="197" customWidth="1"/>
    <col min="13059" max="13059" width="16.6640625" style="197" customWidth="1"/>
    <col min="13060" max="13060" width="1.6640625" style="197" customWidth="1"/>
    <col min="13061" max="13061" width="52" style="197" customWidth="1"/>
    <col min="13062" max="13062" width="7.5" style="197" customWidth="1"/>
    <col min="13063" max="13063" width="15" style="197" customWidth="1"/>
    <col min="13064" max="13064" width="14" style="197" customWidth="1"/>
    <col min="13065" max="13065" width="16.6640625" style="197" customWidth="1"/>
    <col min="13066" max="13068" width="13.6640625" style="197" customWidth="1"/>
    <col min="13069" max="13078" width="13.5" style="197"/>
    <col min="13079" max="13118" width="0" style="197" hidden="1" customWidth="1"/>
    <col min="13119" max="13312" width="13.5" style="197"/>
    <col min="13313" max="13313" width="4.33203125" style="197" customWidth="1"/>
    <col min="13314" max="13314" width="8.83203125" style="197" customWidth="1"/>
    <col min="13315" max="13315" width="16.6640625" style="197" customWidth="1"/>
    <col min="13316" max="13316" width="1.6640625" style="197" customWidth="1"/>
    <col min="13317" max="13317" width="52" style="197" customWidth="1"/>
    <col min="13318" max="13318" width="7.5" style="197" customWidth="1"/>
    <col min="13319" max="13319" width="15" style="197" customWidth="1"/>
    <col min="13320" max="13320" width="14" style="197" customWidth="1"/>
    <col min="13321" max="13321" width="16.6640625" style="197" customWidth="1"/>
    <col min="13322" max="13324" width="13.6640625" style="197" customWidth="1"/>
    <col min="13325" max="13334" width="13.5" style="197"/>
    <col min="13335" max="13374" width="0" style="197" hidden="1" customWidth="1"/>
    <col min="13375" max="13568" width="13.5" style="197"/>
    <col min="13569" max="13569" width="4.33203125" style="197" customWidth="1"/>
    <col min="13570" max="13570" width="8.83203125" style="197" customWidth="1"/>
    <col min="13571" max="13571" width="16.6640625" style="197" customWidth="1"/>
    <col min="13572" max="13572" width="1.6640625" style="197" customWidth="1"/>
    <col min="13573" max="13573" width="52" style="197" customWidth="1"/>
    <col min="13574" max="13574" width="7.5" style="197" customWidth="1"/>
    <col min="13575" max="13575" width="15" style="197" customWidth="1"/>
    <col min="13576" max="13576" width="14" style="197" customWidth="1"/>
    <col min="13577" max="13577" width="16.6640625" style="197" customWidth="1"/>
    <col min="13578" max="13580" width="13.6640625" style="197" customWidth="1"/>
    <col min="13581" max="13590" width="13.5" style="197"/>
    <col min="13591" max="13630" width="0" style="197" hidden="1" customWidth="1"/>
    <col min="13631" max="13824" width="13.5" style="197"/>
    <col min="13825" max="13825" width="4.33203125" style="197" customWidth="1"/>
    <col min="13826" max="13826" width="8.83203125" style="197" customWidth="1"/>
    <col min="13827" max="13827" width="16.6640625" style="197" customWidth="1"/>
    <col min="13828" max="13828" width="1.6640625" style="197" customWidth="1"/>
    <col min="13829" max="13829" width="52" style="197" customWidth="1"/>
    <col min="13830" max="13830" width="7.5" style="197" customWidth="1"/>
    <col min="13831" max="13831" width="15" style="197" customWidth="1"/>
    <col min="13832" max="13832" width="14" style="197" customWidth="1"/>
    <col min="13833" max="13833" width="16.6640625" style="197" customWidth="1"/>
    <col min="13834" max="13836" width="13.6640625" style="197" customWidth="1"/>
    <col min="13837" max="13846" width="13.5" style="197"/>
    <col min="13847" max="13886" width="0" style="197" hidden="1" customWidth="1"/>
    <col min="13887" max="14080" width="13.5" style="197"/>
    <col min="14081" max="14081" width="4.33203125" style="197" customWidth="1"/>
    <col min="14082" max="14082" width="8.83203125" style="197" customWidth="1"/>
    <col min="14083" max="14083" width="16.6640625" style="197" customWidth="1"/>
    <col min="14084" max="14084" width="1.6640625" style="197" customWidth="1"/>
    <col min="14085" max="14085" width="52" style="197" customWidth="1"/>
    <col min="14086" max="14086" width="7.5" style="197" customWidth="1"/>
    <col min="14087" max="14087" width="15" style="197" customWidth="1"/>
    <col min="14088" max="14088" width="14" style="197" customWidth="1"/>
    <col min="14089" max="14089" width="16.6640625" style="197" customWidth="1"/>
    <col min="14090" max="14092" width="13.6640625" style="197" customWidth="1"/>
    <col min="14093" max="14102" width="13.5" style="197"/>
    <col min="14103" max="14142" width="0" style="197" hidden="1" customWidth="1"/>
    <col min="14143" max="14336" width="13.5" style="197"/>
    <col min="14337" max="14337" width="4.33203125" style="197" customWidth="1"/>
    <col min="14338" max="14338" width="8.83203125" style="197" customWidth="1"/>
    <col min="14339" max="14339" width="16.6640625" style="197" customWidth="1"/>
    <col min="14340" max="14340" width="1.6640625" style="197" customWidth="1"/>
    <col min="14341" max="14341" width="52" style="197" customWidth="1"/>
    <col min="14342" max="14342" width="7.5" style="197" customWidth="1"/>
    <col min="14343" max="14343" width="15" style="197" customWidth="1"/>
    <col min="14344" max="14344" width="14" style="197" customWidth="1"/>
    <col min="14345" max="14345" width="16.6640625" style="197" customWidth="1"/>
    <col min="14346" max="14348" width="13.6640625" style="197" customWidth="1"/>
    <col min="14349" max="14358" width="13.5" style="197"/>
    <col min="14359" max="14398" width="0" style="197" hidden="1" customWidth="1"/>
    <col min="14399" max="14592" width="13.5" style="197"/>
    <col min="14593" max="14593" width="4.33203125" style="197" customWidth="1"/>
    <col min="14594" max="14594" width="8.83203125" style="197" customWidth="1"/>
    <col min="14595" max="14595" width="16.6640625" style="197" customWidth="1"/>
    <col min="14596" max="14596" width="1.6640625" style="197" customWidth="1"/>
    <col min="14597" max="14597" width="52" style="197" customWidth="1"/>
    <col min="14598" max="14598" width="7.5" style="197" customWidth="1"/>
    <col min="14599" max="14599" width="15" style="197" customWidth="1"/>
    <col min="14600" max="14600" width="14" style="197" customWidth="1"/>
    <col min="14601" max="14601" width="16.6640625" style="197" customWidth="1"/>
    <col min="14602" max="14604" width="13.6640625" style="197" customWidth="1"/>
    <col min="14605" max="14614" width="13.5" style="197"/>
    <col min="14615" max="14654" width="0" style="197" hidden="1" customWidth="1"/>
    <col min="14655" max="14848" width="13.5" style="197"/>
    <col min="14849" max="14849" width="4.33203125" style="197" customWidth="1"/>
    <col min="14850" max="14850" width="8.83203125" style="197" customWidth="1"/>
    <col min="14851" max="14851" width="16.6640625" style="197" customWidth="1"/>
    <col min="14852" max="14852" width="1.6640625" style="197" customWidth="1"/>
    <col min="14853" max="14853" width="52" style="197" customWidth="1"/>
    <col min="14854" max="14854" width="7.5" style="197" customWidth="1"/>
    <col min="14855" max="14855" width="15" style="197" customWidth="1"/>
    <col min="14856" max="14856" width="14" style="197" customWidth="1"/>
    <col min="14857" max="14857" width="16.6640625" style="197" customWidth="1"/>
    <col min="14858" max="14860" width="13.6640625" style="197" customWidth="1"/>
    <col min="14861" max="14870" width="13.5" style="197"/>
    <col min="14871" max="14910" width="0" style="197" hidden="1" customWidth="1"/>
    <col min="14911" max="15104" width="13.5" style="197"/>
    <col min="15105" max="15105" width="4.33203125" style="197" customWidth="1"/>
    <col min="15106" max="15106" width="8.83203125" style="197" customWidth="1"/>
    <col min="15107" max="15107" width="16.6640625" style="197" customWidth="1"/>
    <col min="15108" max="15108" width="1.6640625" style="197" customWidth="1"/>
    <col min="15109" max="15109" width="52" style="197" customWidth="1"/>
    <col min="15110" max="15110" width="7.5" style="197" customWidth="1"/>
    <col min="15111" max="15111" width="15" style="197" customWidth="1"/>
    <col min="15112" max="15112" width="14" style="197" customWidth="1"/>
    <col min="15113" max="15113" width="16.6640625" style="197" customWidth="1"/>
    <col min="15114" max="15116" width="13.6640625" style="197" customWidth="1"/>
    <col min="15117" max="15126" width="13.5" style="197"/>
    <col min="15127" max="15166" width="0" style="197" hidden="1" customWidth="1"/>
    <col min="15167" max="15360" width="13.5" style="197"/>
    <col min="15361" max="15361" width="4.33203125" style="197" customWidth="1"/>
    <col min="15362" max="15362" width="8.83203125" style="197" customWidth="1"/>
    <col min="15363" max="15363" width="16.6640625" style="197" customWidth="1"/>
    <col min="15364" max="15364" width="1.6640625" style="197" customWidth="1"/>
    <col min="15365" max="15365" width="52" style="197" customWidth="1"/>
    <col min="15366" max="15366" width="7.5" style="197" customWidth="1"/>
    <col min="15367" max="15367" width="15" style="197" customWidth="1"/>
    <col min="15368" max="15368" width="14" style="197" customWidth="1"/>
    <col min="15369" max="15369" width="16.6640625" style="197" customWidth="1"/>
    <col min="15370" max="15372" width="13.6640625" style="197" customWidth="1"/>
    <col min="15373" max="15382" width="13.5" style="197"/>
    <col min="15383" max="15422" width="0" style="197" hidden="1" customWidth="1"/>
    <col min="15423" max="15616" width="13.5" style="197"/>
    <col min="15617" max="15617" width="4.33203125" style="197" customWidth="1"/>
    <col min="15618" max="15618" width="8.83203125" style="197" customWidth="1"/>
    <col min="15619" max="15619" width="16.6640625" style="197" customWidth="1"/>
    <col min="15620" max="15620" width="1.6640625" style="197" customWidth="1"/>
    <col min="15621" max="15621" width="52" style="197" customWidth="1"/>
    <col min="15622" max="15622" width="7.5" style="197" customWidth="1"/>
    <col min="15623" max="15623" width="15" style="197" customWidth="1"/>
    <col min="15624" max="15624" width="14" style="197" customWidth="1"/>
    <col min="15625" max="15625" width="16.6640625" style="197" customWidth="1"/>
    <col min="15626" max="15628" width="13.6640625" style="197" customWidth="1"/>
    <col min="15629" max="15638" width="13.5" style="197"/>
    <col min="15639" max="15678" width="0" style="197" hidden="1" customWidth="1"/>
    <col min="15679" max="15872" width="13.5" style="197"/>
    <col min="15873" max="15873" width="4.33203125" style="197" customWidth="1"/>
    <col min="15874" max="15874" width="8.83203125" style="197" customWidth="1"/>
    <col min="15875" max="15875" width="16.6640625" style="197" customWidth="1"/>
    <col min="15876" max="15876" width="1.6640625" style="197" customWidth="1"/>
    <col min="15877" max="15877" width="52" style="197" customWidth="1"/>
    <col min="15878" max="15878" width="7.5" style="197" customWidth="1"/>
    <col min="15879" max="15879" width="15" style="197" customWidth="1"/>
    <col min="15880" max="15880" width="14" style="197" customWidth="1"/>
    <col min="15881" max="15881" width="16.6640625" style="197" customWidth="1"/>
    <col min="15882" max="15884" width="13.6640625" style="197" customWidth="1"/>
    <col min="15885" max="15894" width="13.5" style="197"/>
    <col min="15895" max="15934" width="0" style="197" hidden="1" customWidth="1"/>
    <col min="15935" max="16128" width="13.5" style="197"/>
    <col min="16129" max="16129" width="4.33203125" style="197" customWidth="1"/>
    <col min="16130" max="16130" width="8.83203125" style="197" customWidth="1"/>
    <col min="16131" max="16131" width="16.6640625" style="197" customWidth="1"/>
    <col min="16132" max="16132" width="1.6640625" style="197" customWidth="1"/>
    <col min="16133" max="16133" width="52" style="197" customWidth="1"/>
    <col min="16134" max="16134" width="7.5" style="197" customWidth="1"/>
    <col min="16135" max="16135" width="15" style="197" customWidth="1"/>
    <col min="16136" max="16136" width="14" style="197" customWidth="1"/>
    <col min="16137" max="16137" width="16.6640625" style="197" customWidth="1"/>
    <col min="16138" max="16140" width="13.6640625" style="197" customWidth="1"/>
    <col min="16141" max="16150" width="13.5" style="197"/>
    <col min="16151" max="16190" width="0" style="197" hidden="1" customWidth="1"/>
    <col min="16191" max="16384" width="13.5" style="197"/>
  </cols>
  <sheetData>
    <row r="1" spans="1:62" ht="72.95" customHeight="1" x14ac:dyDescent="0.35">
      <c r="A1" s="300" t="s">
        <v>295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62" ht="12.75" customHeight="1" x14ac:dyDescent="0.2">
      <c r="A2" s="301" t="s">
        <v>296</v>
      </c>
      <c r="B2" s="301"/>
      <c r="C2" s="301"/>
      <c r="D2" s="302" t="s">
        <v>23</v>
      </c>
      <c r="E2" s="302"/>
      <c r="F2" s="303" t="s">
        <v>297</v>
      </c>
      <c r="G2" s="303"/>
      <c r="H2" s="303" t="s">
        <v>27</v>
      </c>
      <c r="I2" s="304"/>
      <c r="J2" s="304"/>
      <c r="K2" s="304"/>
      <c r="L2" s="304"/>
      <c r="M2" s="198"/>
    </row>
    <row r="3" spans="1:62" x14ac:dyDescent="0.2">
      <c r="A3" s="301"/>
      <c r="B3" s="301"/>
      <c r="C3" s="301"/>
      <c r="D3" s="302"/>
      <c r="E3" s="302"/>
      <c r="F3" s="303"/>
      <c r="G3" s="303"/>
      <c r="H3" s="303"/>
      <c r="I3" s="304"/>
      <c r="J3" s="304"/>
      <c r="K3" s="304"/>
      <c r="L3" s="304"/>
      <c r="M3" s="198"/>
    </row>
    <row r="4" spans="1:62" ht="12.75" customHeight="1" x14ac:dyDescent="0.2">
      <c r="A4" s="305" t="s">
        <v>298</v>
      </c>
      <c r="B4" s="305"/>
      <c r="C4" s="305"/>
      <c r="D4" s="288" t="s">
        <v>299</v>
      </c>
      <c r="E4" s="288"/>
      <c r="F4" s="285" t="s">
        <v>300</v>
      </c>
      <c r="G4" s="285"/>
      <c r="H4" s="285"/>
      <c r="I4" s="295"/>
      <c r="J4" s="295"/>
      <c r="K4" s="295"/>
      <c r="L4" s="295"/>
      <c r="M4" s="198"/>
    </row>
    <row r="5" spans="1:62" x14ac:dyDescent="0.2">
      <c r="A5" s="305"/>
      <c r="B5" s="305"/>
      <c r="C5" s="305"/>
      <c r="D5" s="288"/>
      <c r="E5" s="288"/>
      <c r="F5" s="285"/>
      <c r="G5" s="285"/>
      <c r="H5" s="285"/>
      <c r="I5" s="295"/>
      <c r="J5" s="295"/>
      <c r="K5" s="295"/>
      <c r="L5" s="295"/>
      <c r="M5" s="198"/>
    </row>
    <row r="6" spans="1:62" ht="12.75" customHeight="1" x14ac:dyDescent="0.2">
      <c r="A6" s="305" t="s">
        <v>301</v>
      </c>
      <c r="B6" s="305"/>
      <c r="C6" s="305"/>
      <c r="D6" s="288" t="s">
        <v>19</v>
      </c>
      <c r="E6" s="288"/>
      <c r="F6" s="285" t="s">
        <v>302</v>
      </c>
      <c r="G6" s="285"/>
      <c r="H6" s="285"/>
      <c r="I6" s="295"/>
      <c r="J6" s="295"/>
      <c r="K6" s="295"/>
      <c r="L6" s="295"/>
      <c r="M6" s="198"/>
    </row>
    <row r="7" spans="1:62" x14ac:dyDescent="0.2">
      <c r="A7" s="305"/>
      <c r="B7" s="305"/>
      <c r="C7" s="305"/>
      <c r="D7" s="288"/>
      <c r="E7" s="288"/>
      <c r="F7" s="285"/>
      <c r="G7" s="285"/>
      <c r="H7" s="285"/>
      <c r="I7" s="295"/>
      <c r="J7" s="295"/>
      <c r="K7" s="295"/>
      <c r="L7" s="295"/>
      <c r="M7" s="198"/>
    </row>
    <row r="8" spans="1:62" ht="12.75" customHeight="1" thickBot="1" x14ac:dyDescent="0.25">
      <c r="A8" s="297" t="s">
        <v>303</v>
      </c>
      <c r="B8" s="297"/>
      <c r="C8" s="297"/>
      <c r="D8" s="298" t="s">
        <v>27</v>
      </c>
      <c r="E8" s="298"/>
      <c r="F8" s="299" t="s">
        <v>304</v>
      </c>
      <c r="G8" s="299"/>
      <c r="H8" s="299"/>
      <c r="I8" s="296"/>
      <c r="J8" s="296"/>
      <c r="K8" s="296"/>
      <c r="L8" s="296"/>
      <c r="M8" s="198"/>
    </row>
    <row r="9" spans="1:62" ht="13.5" thickBot="1" x14ac:dyDescent="0.25">
      <c r="A9" s="297"/>
      <c r="B9" s="297"/>
      <c r="C9" s="297"/>
      <c r="D9" s="298"/>
      <c r="E9" s="298"/>
      <c r="F9" s="299"/>
      <c r="G9" s="299"/>
      <c r="H9" s="299"/>
      <c r="I9" s="296"/>
      <c r="J9" s="296"/>
      <c r="K9" s="296"/>
      <c r="L9" s="296"/>
      <c r="M9" s="198"/>
    </row>
    <row r="10" spans="1:62" x14ac:dyDescent="0.2">
      <c r="A10" s="199" t="s">
        <v>305</v>
      </c>
      <c r="B10" s="200" t="s">
        <v>306</v>
      </c>
      <c r="C10" s="200" t="s">
        <v>52</v>
      </c>
      <c r="D10" s="291" t="s">
        <v>307</v>
      </c>
      <c r="E10" s="291"/>
      <c r="F10" s="200" t="s">
        <v>104</v>
      </c>
      <c r="G10" s="201" t="s">
        <v>105</v>
      </c>
      <c r="H10" s="202" t="s">
        <v>308</v>
      </c>
      <c r="I10" s="203"/>
      <c r="J10" s="292" t="s">
        <v>309</v>
      </c>
      <c r="K10" s="292"/>
      <c r="L10" s="204" t="s">
        <v>310</v>
      </c>
      <c r="M10" s="205"/>
      <c r="BI10" s="206" t="s">
        <v>311</v>
      </c>
      <c r="BJ10" s="207" t="s">
        <v>312</v>
      </c>
    </row>
    <row r="11" spans="1:62" ht="13.5" thickBot="1" x14ac:dyDescent="0.25">
      <c r="A11" s="208" t="s">
        <v>27</v>
      </c>
      <c r="B11" s="209" t="s">
        <v>27</v>
      </c>
      <c r="C11" s="209" t="s">
        <v>27</v>
      </c>
      <c r="D11" s="293" t="s">
        <v>313</v>
      </c>
      <c r="E11" s="293"/>
      <c r="F11" s="209" t="s">
        <v>27</v>
      </c>
      <c r="G11" s="209" t="s">
        <v>27</v>
      </c>
      <c r="H11" s="210" t="s">
        <v>314</v>
      </c>
      <c r="I11" s="211" t="s">
        <v>315</v>
      </c>
      <c r="J11" s="212" t="s">
        <v>316</v>
      </c>
      <c r="K11" s="211" t="s">
        <v>315</v>
      </c>
      <c r="L11" s="213" t="s">
        <v>317</v>
      </c>
      <c r="M11" s="205"/>
      <c r="X11" s="206" t="s">
        <v>318</v>
      </c>
      <c r="Y11" s="206" t="s">
        <v>319</v>
      </c>
      <c r="Z11" s="206" t="s">
        <v>320</v>
      </c>
      <c r="AA11" s="206" t="s">
        <v>321</v>
      </c>
      <c r="AB11" s="206" t="s">
        <v>322</v>
      </c>
      <c r="AC11" s="206" t="s">
        <v>323</v>
      </c>
      <c r="AD11" s="206" t="s">
        <v>324</v>
      </c>
      <c r="AE11" s="206" t="s">
        <v>325</v>
      </c>
      <c r="AF11" s="206" t="s">
        <v>326</v>
      </c>
      <c r="BF11" s="206" t="s">
        <v>327</v>
      </c>
      <c r="BG11" s="206" t="s">
        <v>328</v>
      </c>
      <c r="BH11" s="206" t="s">
        <v>329</v>
      </c>
    </row>
    <row r="12" spans="1:62" x14ac:dyDescent="0.2">
      <c r="A12" s="214"/>
      <c r="B12" s="215"/>
      <c r="C12" s="215"/>
      <c r="D12" s="294" t="s">
        <v>330</v>
      </c>
      <c r="E12" s="294"/>
      <c r="F12" s="216" t="s">
        <v>27</v>
      </c>
      <c r="G12" s="216" t="s">
        <v>27</v>
      </c>
      <c r="H12" s="216" t="s">
        <v>27</v>
      </c>
      <c r="I12" s="217">
        <f>SUM(I13:I20)</f>
        <v>0</v>
      </c>
      <c r="J12" s="218"/>
      <c r="K12" s="217">
        <f>SUM(K13:K20)</f>
        <v>0</v>
      </c>
      <c r="L12" s="219"/>
      <c r="M12" s="198"/>
      <c r="AG12" s="206"/>
      <c r="AQ12" s="220">
        <f>SUM(AH13:AH20)</f>
        <v>0</v>
      </c>
      <c r="AR12" s="220">
        <f>SUM(AI13:AI20)</f>
        <v>0</v>
      </c>
      <c r="AS12" s="220">
        <f>SUM(AJ13:AJ20)</f>
        <v>0</v>
      </c>
    </row>
    <row r="13" spans="1:62" x14ac:dyDescent="0.2">
      <c r="A13" s="221" t="s">
        <v>78</v>
      </c>
      <c r="B13" s="222"/>
      <c r="C13" s="222"/>
      <c r="D13" s="285" t="s">
        <v>331</v>
      </c>
      <c r="E13" s="285"/>
      <c r="F13" s="222" t="s">
        <v>332</v>
      </c>
      <c r="G13" s="223">
        <v>1</v>
      </c>
      <c r="H13" s="223"/>
      <c r="I13" s="223">
        <f t="shared" ref="I13:I20" si="0">G13*H13</f>
        <v>0</v>
      </c>
      <c r="J13" s="223"/>
      <c r="K13" s="223"/>
      <c r="L13" s="224"/>
      <c r="M13" s="198"/>
      <c r="X13" s="223">
        <f t="shared" ref="X13:X20" si="1">IF(AO13="5",BH13,0)</f>
        <v>0</v>
      </c>
      <c r="Z13" s="223">
        <f t="shared" ref="Z13:Z20" si="2">IF(AO13="1",BF13,0)</f>
        <v>0</v>
      </c>
      <c r="AA13" s="223">
        <f t="shared" ref="AA13:AA20" si="3">IF(AO13="1",BG13,0)</f>
        <v>0</v>
      </c>
      <c r="AB13" s="223">
        <f t="shared" ref="AB13:AB20" si="4">IF(AO13="7",BF13,0)</f>
        <v>0</v>
      </c>
      <c r="AC13" s="223">
        <f t="shared" ref="AC13:AC20" si="5">IF(AO13="7",BG13,0)</f>
        <v>0</v>
      </c>
      <c r="AD13" s="223">
        <f t="shared" ref="AD13:AD20" si="6">IF(AO13="2",BF13,0)</f>
        <v>0</v>
      </c>
      <c r="AE13" s="223">
        <f t="shared" ref="AE13:AE20" si="7">IF(AO13="2",BG13,0)</f>
        <v>0</v>
      </c>
      <c r="AF13" s="223">
        <f t="shared" ref="AF13:AF20" si="8">IF(AO13="0",BH13,0)</f>
        <v>0</v>
      </c>
      <c r="AG13" s="206"/>
      <c r="AH13" s="223">
        <f t="shared" ref="AH13:AH20" si="9">IF(AL13=0,I13,0)</f>
        <v>0</v>
      </c>
      <c r="AI13" s="223">
        <f t="shared" ref="AI13:AI20" si="10">IF(AL13=15,I13,0)</f>
        <v>0</v>
      </c>
      <c r="AJ13" s="223">
        <f t="shared" ref="AJ13:AJ20" si="11">IF(AL13=21,I13,0)</f>
        <v>0</v>
      </c>
      <c r="AL13" s="223">
        <v>0</v>
      </c>
      <c r="AM13" s="223">
        <f>H13*0.151114630766185</f>
        <v>0</v>
      </c>
      <c r="AN13" s="223">
        <f>H13*(1-0.151114630766185)</f>
        <v>0</v>
      </c>
      <c r="AO13" s="225" t="s">
        <v>146</v>
      </c>
      <c r="AT13" s="223">
        <f t="shared" ref="AT13:AT20" si="12">AU13+AV13</f>
        <v>0</v>
      </c>
      <c r="AU13" s="223">
        <f t="shared" ref="AU13:AU20" si="13">G13*AM13</f>
        <v>0</v>
      </c>
      <c r="AV13" s="223">
        <f t="shared" ref="AV13:AV20" si="14">G13*AN13</f>
        <v>0</v>
      </c>
      <c r="AW13" s="225" t="s">
        <v>333</v>
      </c>
      <c r="AX13" s="225" t="s">
        <v>334</v>
      </c>
      <c r="AY13" s="206" t="s">
        <v>335</v>
      </c>
      <c r="BA13" s="223">
        <f t="shared" ref="BA13:BA20" si="15">AU13+AV13</f>
        <v>0</v>
      </c>
      <c r="BB13" s="223">
        <f t="shared" ref="BB13:BB20" si="16">H13/(100-BC13)*100</f>
        <v>0</v>
      </c>
      <c r="BC13" s="223">
        <v>0</v>
      </c>
      <c r="BD13" s="223">
        <f t="shared" ref="BD13:BD20" si="17">K13</f>
        <v>0</v>
      </c>
      <c r="BF13" s="223">
        <f t="shared" ref="BF13:BF20" si="18">G13*AM13</f>
        <v>0</v>
      </c>
      <c r="BG13" s="223">
        <f t="shared" ref="BG13:BG20" si="19">G13*AN13</f>
        <v>0</v>
      </c>
      <c r="BH13" s="223">
        <f t="shared" ref="BH13:BH20" si="20">G13*H13</f>
        <v>0</v>
      </c>
      <c r="BI13" s="223" t="s">
        <v>336</v>
      </c>
      <c r="BJ13" s="223">
        <v>721</v>
      </c>
    </row>
    <row r="14" spans="1:62" x14ac:dyDescent="0.2">
      <c r="A14" s="221" t="s">
        <v>80</v>
      </c>
      <c r="B14" s="222"/>
      <c r="C14" s="222"/>
      <c r="D14" s="285" t="s">
        <v>337</v>
      </c>
      <c r="E14" s="285"/>
      <c r="F14" s="222" t="s">
        <v>177</v>
      </c>
      <c r="G14" s="223">
        <v>1</v>
      </c>
      <c r="H14" s="223"/>
      <c r="I14" s="223">
        <f t="shared" si="0"/>
        <v>0</v>
      </c>
      <c r="J14" s="223"/>
      <c r="K14" s="223"/>
      <c r="L14" s="224"/>
      <c r="M14" s="198"/>
      <c r="X14" s="223">
        <f t="shared" si="1"/>
        <v>0</v>
      </c>
      <c r="Z14" s="223">
        <f t="shared" si="2"/>
        <v>0</v>
      </c>
      <c r="AA14" s="223">
        <f t="shared" si="3"/>
        <v>0</v>
      </c>
      <c r="AB14" s="223">
        <f t="shared" si="4"/>
        <v>0</v>
      </c>
      <c r="AC14" s="223">
        <f t="shared" si="5"/>
        <v>0</v>
      </c>
      <c r="AD14" s="223">
        <f t="shared" si="6"/>
        <v>0</v>
      </c>
      <c r="AE14" s="223">
        <f t="shared" si="7"/>
        <v>0</v>
      </c>
      <c r="AF14" s="223">
        <f t="shared" si="8"/>
        <v>0</v>
      </c>
      <c r="AG14" s="206"/>
      <c r="AH14" s="223">
        <f t="shared" si="9"/>
        <v>0</v>
      </c>
      <c r="AI14" s="223">
        <f t="shared" si="10"/>
        <v>0</v>
      </c>
      <c r="AJ14" s="223">
        <f t="shared" si="11"/>
        <v>0</v>
      </c>
      <c r="AL14" s="223">
        <v>0</v>
      </c>
      <c r="AM14" s="223">
        <f>H14*0.370562722727147</f>
        <v>0</v>
      </c>
      <c r="AN14" s="223">
        <f>H14*(1-0.370562722727147)</f>
        <v>0</v>
      </c>
      <c r="AO14" s="225" t="s">
        <v>146</v>
      </c>
      <c r="AT14" s="223">
        <f t="shared" si="12"/>
        <v>0</v>
      </c>
      <c r="AU14" s="223">
        <f t="shared" si="13"/>
        <v>0</v>
      </c>
      <c r="AV14" s="223">
        <f t="shared" si="14"/>
        <v>0</v>
      </c>
      <c r="AW14" s="225" t="s">
        <v>333</v>
      </c>
      <c r="AX14" s="225" t="s">
        <v>334</v>
      </c>
      <c r="AY14" s="206" t="s">
        <v>335</v>
      </c>
      <c r="BA14" s="223">
        <f t="shared" si="15"/>
        <v>0</v>
      </c>
      <c r="BB14" s="223">
        <f t="shared" si="16"/>
        <v>0</v>
      </c>
      <c r="BC14" s="223">
        <v>0</v>
      </c>
      <c r="BD14" s="223">
        <f t="shared" si="17"/>
        <v>0</v>
      </c>
      <c r="BF14" s="223">
        <f t="shared" si="18"/>
        <v>0</v>
      </c>
      <c r="BG14" s="223">
        <f t="shared" si="19"/>
        <v>0</v>
      </c>
      <c r="BH14" s="223">
        <f t="shared" si="20"/>
        <v>0</v>
      </c>
      <c r="BI14" s="223" t="s">
        <v>336</v>
      </c>
      <c r="BJ14" s="223">
        <v>721</v>
      </c>
    </row>
    <row r="15" spans="1:62" x14ac:dyDescent="0.2">
      <c r="A15" s="221" t="s">
        <v>118</v>
      </c>
      <c r="B15" s="222"/>
      <c r="C15" s="222"/>
      <c r="D15" s="285" t="s">
        <v>338</v>
      </c>
      <c r="E15" s="285"/>
      <c r="F15" s="222" t="s">
        <v>177</v>
      </c>
      <c r="G15" s="223">
        <v>1</v>
      </c>
      <c r="H15" s="223"/>
      <c r="I15" s="223">
        <f t="shared" si="0"/>
        <v>0</v>
      </c>
      <c r="J15" s="223"/>
      <c r="K15" s="223"/>
      <c r="L15" s="224"/>
      <c r="M15" s="198"/>
      <c r="X15" s="223">
        <f t="shared" si="1"/>
        <v>0</v>
      </c>
      <c r="Z15" s="223">
        <f t="shared" si="2"/>
        <v>0</v>
      </c>
      <c r="AA15" s="223">
        <f t="shared" si="3"/>
        <v>0</v>
      </c>
      <c r="AB15" s="223">
        <f t="shared" si="4"/>
        <v>0</v>
      </c>
      <c r="AC15" s="223">
        <f t="shared" si="5"/>
        <v>0</v>
      </c>
      <c r="AD15" s="223">
        <f t="shared" si="6"/>
        <v>0</v>
      </c>
      <c r="AE15" s="223">
        <f t="shared" si="7"/>
        <v>0</v>
      </c>
      <c r="AF15" s="223">
        <f t="shared" si="8"/>
        <v>0</v>
      </c>
      <c r="AG15" s="206"/>
      <c r="AH15" s="223">
        <f t="shared" si="9"/>
        <v>0</v>
      </c>
      <c r="AI15" s="223">
        <f t="shared" si="10"/>
        <v>0</v>
      </c>
      <c r="AJ15" s="223">
        <f t="shared" si="11"/>
        <v>0</v>
      </c>
      <c r="AL15" s="223">
        <v>0</v>
      </c>
      <c r="AM15" s="223">
        <f>H15*0.351362007168459</f>
        <v>0</v>
      </c>
      <c r="AN15" s="223">
        <f>H15*(1-0.351362007168459)</f>
        <v>0</v>
      </c>
      <c r="AO15" s="225" t="s">
        <v>146</v>
      </c>
      <c r="AT15" s="223">
        <f t="shared" si="12"/>
        <v>0</v>
      </c>
      <c r="AU15" s="223">
        <f t="shared" si="13"/>
        <v>0</v>
      </c>
      <c r="AV15" s="223">
        <f t="shared" si="14"/>
        <v>0</v>
      </c>
      <c r="AW15" s="225" t="s">
        <v>333</v>
      </c>
      <c r="AX15" s="225" t="s">
        <v>334</v>
      </c>
      <c r="AY15" s="206" t="s">
        <v>335</v>
      </c>
      <c r="BA15" s="223">
        <f t="shared" si="15"/>
        <v>0</v>
      </c>
      <c r="BB15" s="223">
        <f t="shared" si="16"/>
        <v>0</v>
      </c>
      <c r="BC15" s="223">
        <v>0</v>
      </c>
      <c r="BD15" s="223">
        <f t="shared" si="17"/>
        <v>0</v>
      </c>
      <c r="BF15" s="223">
        <f t="shared" si="18"/>
        <v>0</v>
      </c>
      <c r="BG15" s="223">
        <f t="shared" si="19"/>
        <v>0</v>
      </c>
      <c r="BH15" s="223">
        <f t="shared" si="20"/>
        <v>0</v>
      </c>
      <c r="BI15" s="223" t="s">
        <v>336</v>
      </c>
      <c r="BJ15" s="223">
        <v>721</v>
      </c>
    </row>
    <row r="16" spans="1:62" x14ac:dyDescent="0.2">
      <c r="A16" s="221" t="s">
        <v>124</v>
      </c>
      <c r="B16" s="222"/>
      <c r="C16" s="222"/>
      <c r="D16" s="285" t="s">
        <v>339</v>
      </c>
      <c r="E16" s="285"/>
      <c r="F16" s="222" t="s">
        <v>177</v>
      </c>
      <c r="G16" s="223">
        <v>1.5</v>
      </c>
      <c r="H16" s="223"/>
      <c r="I16" s="223">
        <f t="shared" si="0"/>
        <v>0</v>
      </c>
      <c r="J16" s="223"/>
      <c r="K16" s="223"/>
      <c r="L16" s="224"/>
      <c r="M16" s="198"/>
      <c r="X16" s="223">
        <f t="shared" si="1"/>
        <v>0</v>
      </c>
      <c r="Z16" s="223">
        <f t="shared" si="2"/>
        <v>0</v>
      </c>
      <c r="AA16" s="223">
        <f t="shared" si="3"/>
        <v>0</v>
      </c>
      <c r="AB16" s="223">
        <f t="shared" si="4"/>
        <v>0</v>
      </c>
      <c r="AC16" s="223">
        <f t="shared" si="5"/>
        <v>0</v>
      </c>
      <c r="AD16" s="223">
        <f t="shared" si="6"/>
        <v>0</v>
      </c>
      <c r="AE16" s="223">
        <f t="shared" si="7"/>
        <v>0</v>
      </c>
      <c r="AF16" s="223">
        <f t="shared" si="8"/>
        <v>0</v>
      </c>
      <c r="AG16" s="206"/>
      <c r="AH16" s="223">
        <f t="shared" si="9"/>
        <v>0</v>
      </c>
      <c r="AI16" s="223">
        <f t="shared" si="10"/>
        <v>0</v>
      </c>
      <c r="AJ16" s="223">
        <f t="shared" si="11"/>
        <v>0</v>
      </c>
      <c r="AL16" s="223">
        <v>0</v>
      </c>
      <c r="AM16" s="223">
        <f>H16*0.357330677290837</f>
        <v>0</v>
      </c>
      <c r="AN16" s="223">
        <f>H16*(1-0.357330677290837)</f>
        <v>0</v>
      </c>
      <c r="AO16" s="225" t="s">
        <v>146</v>
      </c>
      <c r="AT16" s="223">
        <f t="shared" si="12"/>
        <v>0</v>
      </c>
      <c r="AU16" s="223">
        <f t="shared" si="13"/>
        <v>0</v>
      </c>
      <c r="AV16" s="223">
        <f t="shared" si="14"/>
        <v>0</v>
      </c>
      <c r="AW16" s="225" t="s">
        <v>333</v>
      </c>
      <c r="AX16" s="225" t="s">
        <v>334</v>
      </c>
      <c r="AY16" s="206" t="s">
        <v>335</v>
      </c>
      <c r="BA16" s="223">
        <f t="shared" si="15"/>
        <v>0</v>
      </c>
      <c r="BB16" s="223">
        <f t="shared" si="16"/>
        <v>0</v>
      </c>
      <c r="BC16" s="223">
        <v>0</v>
      </c>
      <c r="BD16" s="223">
        <f t="shared" si="17"/>
        <v>0</v>
      </c>
      <c r="BF16" s="223">
        <f t="shared" si="18"/>
        <v>0</v>
      </c>
      <c r="BG16" s="223">
        <f t="shared" si="19"/>
        <v>0</v>
      </c>
      <c r="BH16" s="223">
        <f t="shared" si="20"/>
        <v>0</v>
      </c>
      <c r="BI16" s="223" t="s">
        <v>336</v>
      </c>
      <c r="BJ16" s="223">
        <v>721</v>
      </c>
    </row>
    <row r="17" spans="1:62" x14ac:dyDescent="0.2">
      <c r="A17" s="221" t="s">
        <v>139</v>
      </c>
      <c r="B17" s="222"/>
      <c r="C17" s="222"/>
      <c r="D17" s="285" t="s">
        <v>340</v>
      </c>
      <c r="E17" s="285"/>
      <c r="F17" s="222" t="s">
        <v>332</v>
      </c>
      <c r="G17" s="223">
        <v>1</v>
      </c>
      <c r="H17" s="223"/>
      <c r="I17" s="223">
        <f t="shared" si="0"/>
        <v>0</v>
      </c>
      <c r="J17" s="223"/>
      <c r="K17" s="223"/>
      <c r="L17" s="224"/>
      <c r="M17" s="198"/>
      <c r="X17" s="223">
        <f t="shared" si="1"/>
        <v>0</v>
      </c>
      <c r="Z17" s="223">
        <f t="shared" si="2"/>
        <v>0</v>
      </c>
      <c r="AA17" s="223">
        <f t="shared" si="3"/>
        <v>0</v>
      </c>
      <c r="AB17" s="223">
        <f t="shared" si="4"/>
        <v>0</v>
      </c>
      <c r="AC17" s="223">
        <f t="shared" si="5"/>
        <v>0</v>
      </c>
      <c r="AD17" s="223">
        <f t="shared" si="6"/>
        <v>0</v>
      </c>
      <c r="AE17" s="223">
        <f t="shared" si="7"/>
        <v>0</v>
      </c>
      <c r="AF17" s="223">
        <f t="shared" si="8"/>
        <v>0</v>
      </c>
      <c r="AG17" s="206"/>
      <c r="AH17" s="223">
        <f t="shared" si="9"/>
        <v>0</v>
      </c>
      <c r="AI17" s="223">
        <f t="shared" si="10"/>
        <v>0</v>
      </c>
      <c r="AJ17" s="223">
        <f t="shared" si="11"/>
        <v>0</v>
      </c>
      <c r="AL17" s="223">
        <v>0</v>
      </c>
      <c r="AM17" s="223">
        <f>H17*0.876912160266671</f>
        <v>0</v>
      </c>
      <c r="AN17" s="223">
        <f>H17*(1-0.876912160266671)</f>
        <v>0</v>
      </c>
      <c r="AO17" s="225" t="s">
        <v>146</v>
      </c>
      <c r="AT17" s="223">
        <f t="shared" si="12"/>
        <v>0</v>
      </c>
      <c r="AU17" s="223">
        <f t="shared" si="13"/>
        <v>0</v>
      </c>
      <c r="AV17" s="223">
        <f t="shared" si="14"/>
        <v>0</v>
      </c>
      <c r="AW17" s="225" t="s">
        <v>333</v>
      </c>
      <c r="AX17" s="225" t="s">
        <v>334</v>
      </c>
      <c r="AY17" s="206" t="s">
        <v>335</v>
      </c>
      <c r="BA17" s="223">
        <f t="shared" si="15"/>
        <v>0</v>
      </c>
      <c r="BB17" s="223">
        <f t="shared" si="16"/>
        <v>0</v>
      </c>
      <c r="BC17" s="223">
        <v>0</v>
      </c>
      <c r="BD17" s="223">
        <f t="shared" si="17"/>
        <v>0</v>
      </c>
      <c r="BF17" s="223">
        <f t="shared" si="18"/>
        <v>0</v>
      </c>
      <c r="BG17" s="223">
        <f t="shared" si="19"/>
        <v>0</v>
      </c>
      <c r="BH17" s="223">
        <f t="shared" si="20"/>
        <v>0</v>
      </c>
      <c r="BI17" s="223" t="s">
        <v>336</v>
      </c>
      <c r="BJ17" s="223">
        <v>721</v>
      </c>
    </row>
    <row r="18" spans="1:62" x14ac:dyDescent="0.2">
      <c r="A18" s="221" t="s">
        <v>126</v>
      </c>
      <c r="B18" s="222"/>
      <c r="C18" s="222"/>
      <c r="D18" s="285" t="s">
        <v>341</v>
      </c>
      <c r="E18" s="285"/>
      <c r="F18" s="222" t="s">
        <v>332</v>
      </c>
      <c r="G18" s="223">
        <v>1</v>
      </c>
      <c r="H18" s="223"/>
      <c r="I18" s="223">
        <f t="shared" si="0"/>
        <v>0</v>
      </c>
      <c r="J18" s="223"/>
      <c r="K18" s="223"/>
      <c r="L18" s="224"/>
      <c r="M18" s="198"/>
      <c r="X18" s="223">
        <f t="shared" si="1"/>
        <v>0</v>
      </c>
      <c r="Z18" s="223">
        <f t="shared" si="2"/>
        <v>0</v>
      </c>
      <c r="AA18" s="223">
        <f t="shared" si="3"/>
        <v>0</v>
      </c>
      <c r="AB18" s="223">
        <f t="shared" si="4"/>
        <v>0</v>
      </c>
      <c r="AC18" s="223">
        <f t="shared" si="5"/>
        <v>0</v>
      </c>
      <c r="AD18" s="223">
        <f t="shared" si="6"/>
        <v>0</v>
      </c>
      <c r="AE18" s="223">
        <f t="shared" si="7"/>
        <v>0</v>
      </c>
      <c r="AF18" s="223">
        <f t="shared" si="8"/>
        <v>0</v>
      </c>
      <c r="AG18" s="206"/>
      <c r="AH18" s="223">
        <f t="shared" si="9"/>
        <v>0</v>
      </c>
      <c r="AI18" s="223">
        <f t="shared" si="10"/>
        <v>0</v>
      </c>
      <c r="AJ18" s="223">
        <f t="shared" si="11"/>
        <v>0</v>
      </c>
      <c r="AL18" s="223">
        <v>0</v>
      </c>
      <c r="AM18" s="223">
        <f>H18*0</f>
        <v>0</v>
      </c>
      <c r="AN18" s="223">
        <f>H18*(1-0)</f>
        <v>0</v>
      </c>
      <c r="AO18" s="225" t="s">
        <v>146</v>
      </c>
      <c r="AT18" s="223">
        <f t="shared" si="12"/>
        <v>0</v>
      </c>
      <c r="AU18" s="223">
        <f t="shared" si="13"/>
        <v>0</v>
      </c>
      <c r="AV18" s="223">
        <f t="shared" si="14"/>
        <v>0</v>
      </c>
      <c r="AW18" s="225" t="s">
        <v>333</v>
      </c>
      <c r="AX18" s="225" t="s">
        <v>334</v>
      </c>
      <c r="AY18" s="206" t="s">
        <v>335</v>
      </c>
      <c r="BA18" s="223">
        <f t="shared" si="15"/>
        <v>0</v>
      </c>
      <c r="BB18" s="223">
        <f t="shared" si="16"/>
        <v>0</v>
      </c>
      <c r="BC18" s="223">
        <v>0</v>
      </c>
      <c r="BD18" s="223">
        <f t="shared" si="17"/>
        <v>0</v>
      </c>
      <c r="BF18" s="223">
        <f t="shared" si="18"/>
        <v>0</v>
      </c>
      <c r="BG18" s="223">
        <f t="shared" si="19"/>
        <v>0</v>
      </c>
      <c r="BH18" s="223">
        <f t="shared" si="20"/>
        <v>0</v>
      </c>
      <c r="BI18" s="223" t="s">
        <v>336</v>
      </c>
      <c r="BJ18" s="223">
        <v>721</v>
      </c>
    </row>
    <row r="19" spans="1:62" x14ac:dyDescent="0.2">
      <c r="A19" s="221" t="s">
        <v>146</v>
      </c>
      <c r="B19" s="222"/>
      <c r="C19" s="222"/>
      <c r="D19" s="285" t="s">
        <v>342</v>
      </c>
      <c r="E19" s="285"/>
      <c r="F19" s="222" t="s">
        <v>332</v>
      </c>
      <c r="G19" s="223">
        <v>3</v>
      </c>
      <c r="H19" s="223"/>
      <c r="I19" s="223">
        <f t="shared" si="0"/>
        <v>0</v>
      </c>
      <c r="J19" s="223"/>
      <c r="K19" s="223"/>
      <c r="L19" s="224"/>
      <c r="M19" s="198"/>
      <c r="X19" s="223">
        <f t="shared" si="1"/>
        <v>0</v>
      </c>
      <c r="Z19" s="223">
        <f t="shared" si="2"/>
        <v>0</v>
      </c>
      <c r="AA19" s="223">
        <f t="shared" si="3"/>
        <v>0</v>
      </c>
      <c r="AB19" s="223">
        <f t="shared" si="4"/>
        <v>0</v>
      </c>
      <c r="AC19" s="223">
        <f t="shared" si="5"/>
        <v>0</v>
      </c>
      <c r="AD19" s="223">
        <f t="shared" si="6"/>
        <v>0</v>
      </c>
      <c r="AE19" s="223">
        <f t="shared" si="7"/>
        <v>0</v>
      </c>
      <c r="AF19" s="223">
        <f t="shared" si="8"/>
        <v>0</v>
      </c>
      <c r="AG19" s="206"/>
      <c r="AH19" s="223">
        <f t="shared" si="9"/>
        <v>0</v>
      </c>
      <c r="AI19" s="223">
        <f t="shared" si="10"/>
        <v>0</v>
      </c>
      <c r="AJ19" s="223">
        <f t="shared" si="11"/>
        <v>0</v>
      </c>
      <c r="AL19" s="223">
        <v>0</v>
      </c>
      <c r="AM19" s="223">
        <f>H19*0</f>
        <v>0</v>
      </c>
      <c r="AN19" s="223">
        <f>H19*(1-0)</f>
        <v>0</v>
      </c>
      <c r="AO19" s="225" t="s">
        <v>146</v>
      </c>
      <c r="AT19" s="223">
        <f t="shared" si="12"/>
        <v>0</v>
      </c>
      <c r="AU19" s="223">
        <f t="shared" si="13"/>
        <v>0</v>
      </c>
      <c r="AV19" s="223">
        <f t="shared" si="14"/>
        <v>0</v>
      </c>
      <c r="AW19" s="225" t="s">
        <v>333</v>
      </c>
      <c r="AX19" s="225" t="s">
        <v>334</v>
      </c>
      <c r="AY19" s="206" t="s">
        <v>335</v>
      </c>
      <c r="BA19" s="223">
        <f t="shared" si="15"/>
        <v>0</v>
      </c>
      <c r="BB19" s="223">
        <f t="shared" si="16"/>
        <v>0</v>
      </c>
      <c r="BC19" s="223">
        <v>0</v>
      </c>
      <c r="BD19" s="223">
        <f t="shared" si="17"/>
        <v>0</v>
      </c>
      <c r="BF19" s="223">
        <f t="shared" si="18"/>
        <v>0</v>
      </c>
      <c r="BG19" s="223">
        <f t="shared" si="19"/>
        <v>0</v>
      </c>
      <c r="BH19" s="223">
        <f t="shared" si="20"/>
        <v>0</v>
      </c>
      <c r="BI19" s="223" t="s">
        <v>336</v>
      </c>
      <c r="BJ19" s="223">
        <v>721</v>
      </c>
    </row>
    <row r="20" spans="1:62" x14ac:dyDescent="0.2">
      <c r="A20" s="221" t="s">
        <v>134</v>
      </c>
      <c r="B20" s="222"/>
      <c r="C20" s="222"/>
      <c r="D20" s="285" t="s">
        <v>343</v>
      </c>
      <c r="E20" s="285"/>
      <c r="F20" s="222" t="s">
        <v>344</v>
      </c>
      <c r="G20" s="223">
        <v>1</v>
      </c>
      <c r="H20" s="223"/>
      <c r="I20" s="223">
        <f t="shared" si="0"/>
        <v>0</v>
      </c>
      <c r="J20" s="223"/>
      <c r="K20" s="223"/>
      <c r="L20" s="224"/>
      <c r="M20" s="198"/>
      <c r="X20" s="223">
        <f t="shared" si="1"/>
        <v>0</v>
      </c>
      <c r="Z20" s="223">
        <f t="shared" si="2"/>
        <v>0</v>
      </c>
      <c r="AA20" s="223">
        <f t="shared" si="3"/>
        <v>0</v>
      </c>
      <c r="AB20" s="223">
        <f t="shared" si="4"/>
        <v>0</v>
      </c>
      <c r="AC20" s="223">
        <f t="shared" si="5"/>
        <v>0</v>
      </c>
      <c r="AD20" s="223">
        <f t="shared" si="6"/>
        <v>0</v>
      </c>
      <c r="AE20" s="223">
        <f t="shared" si="7"/>
        <v>0</v>
      </c>
      <c r="AF20" s="223">
        <f t="shared" si="8"/>
        <v>0</v>
      </c>
      <c r="AG20" s="206"/>
      <c r="AH20" s="223">
        <f t="shared" si="9"/>
        <v>0</v>
      </c>
      <c r="AI20" s="223">
        <f t="shared" si="10"/>
        <v>0</v>
      </c>
      <c r="AJ20" s="223">
        <f t="shared" si="11"/>
        <v>0</v>
      </c>
      <c r="AL20" s="223">
        <v>0</v>
      </c>
      <c r="AM20" s="223">
        <f>H20*0</f>
        <v>0</v>
      </c>
      <c r="AN20" s="223">
        <f>H20*(1-0)</f>
        <v>0</v>
      </c>
      <c r="AO20" s="225" t="s">
        <v>146</v>
      </c>
      <c r="AT20" s="223">
        <f t="shared" si="12"/>
        <v>0</v>
      </c>
      <c r="AU20" s="223">
        <f t="shared" si="13"/>
        <v>0</v>
      </c>
      <c r="AV20" s="223">
        <f t="shared" si="14"/>
        <v>0</v>
      </c>
      <c r="AW20" s="225" t="s">
        <v>333</v>
      </c>
      <c r="AX20" s="225" t="s">
        <v>334</v>
      </c>
      <c r="AY20" s="206" t="s">
        <v>335</v>
      </c>
      <c r="BA20" s="223">
        <f t="shared" si="15"/>
        <v>0</v>
      </c>
      <c r="BB20" s="223">
        <f t="shared" si="16"/>
        <v>0</v>
      </c>
      <c r="BC20" s="223">
        <v>0</v>
      </c>
      <c r="BD20" s="223">
        <f t="shared" si="17"/>
        <v>0</v>
      </c>
      <c r="BF20" s="223">
        <f t="shared" si="18"/>
        <v>0</v>
      </c>
      <c r="BG20" s="223">
        <f t="shared" si="19"/>
        <v>0</v>
      </c>
      <c r="BH20" s="223">
        <f t="shared" si="20"/>
        <v>0</v>
      </c>
      <c r="BI20" s="223" t="s">
        <v>336</v>
      </c>
      <c r="BJ20" s="223">
        <v>721</v>
      </c>
    </row>
    <row r="21" spans="1:62" x14ac:dyDescent="0.2">
      <c r="A21" s="226"/>
      <c r="B21" s="227"/>
      <c r="C21" s="227"/>
      <c r="D21" s="286" t="s">
        <v>345</v>
      </c>
      <c r="E21" s="286"/>
      <c r="F21" s="228" t="s">
        <v>27</v>
      </c>
      <c r="G21" s="228" t="s">
        <v>27</v>
      </c>
      <c r="H21" s="228"/>
      <c r="I21" s="220">
        <f>SUM(I22:I34)</f>
        <v>0</v>
      </c>
      <c r="J21" s="206"/>
      <c r="K21" s="220"/>
      <c r="L21" s="229"/>
      <c r="M21" s="198"/>
      <c r="AG21" s="206"/>
      <c r="AQ21" s="220">
        <f>SUM(AH22:AH34)</f>
        <v>0</v>
      </c>
      <c r="AR21" s="220">
        <f>SUM(AI22:AI34)</f>
        <v>0</v>
      </c>
      <c r="AS21" s="220">
        <f>SUM(AJ22:AJ34)</f>
        <v>0</v>
      </c>
    </row>
    <row r="22" spans="1:62" x14ac:dyDescent="0.2">
      <c r="A22" s="221" t="s">
        <v>155</v>
      </c>
      <c r="B22" s="222"/>
      <c r="C22" s="222"/>
      <c r="D22" s="285" t="s">
        <v>346</v>
      </c>
      <c r="E22" s="285"/>
      <c r="F22" s="222" t="s">
        <v>344</v>
      </c>
      <c r="G22" s="223">
        <v>1</v>
      </c>
      <c r="H22" s="223"/>
      <c r="I22" s="223">
        <f t="shared" ref="I22:I34" si="21">G22*H22</f>
        <v>0</v>
      </c>
      <c r="J22" s="223"/>
      <c r="K22" s="223"/>
      <c r="L22" s="224"/>
      <c r="M22" s="198"/>
      <c r="X22" s="223">
        <f t="shared" ref="X22:X34" si="22">IF(AO22="5",BH22,0)</f>
        <v>0</v>
      </c>
      <c r="Z22" s="223">
        <f t="shared" ref="Z22:Z34" si="23">IF(AO22="1",BF22,0)</f>
        <v>0</v>
      </c>
      <c r="AA22" s="223">
        <f t="shared" ref="AA22:AA34" si="24">IF(AO22="1",BG22,0)</f>
        <v>0</v>
      </c>
      <c r="AB22" s="223">
        <f t="shared" ref="AB22:AB34" si="25">IF(AO22="7",BF22,0)</f>
        <v>0</v>
      </c>
      <c r="AC22" s="223">
        <f t="shared" ref="AC22:AC34" si="26">IF(AO22="7",BG22,0)</f>
        <v>0</v>
      </c>
      <c r="AD22" s="223">
        <f t="shared" ref="AD22:AD34" si="27">IF(AO22="2",BF22,0)</f>
        <v>0</v>
      </c>
      <c r="AE22" s="223">
        <f t="shared" ref="AE22:AE34" si="28">IF(AO22="2",BG22,0)</f>
        <v>0</v>
      </c>
      <c r="AF22" s="223">
        <f t="shared" ref="AF22:AF34" si="29">IF(AO22="0",BH22,0)</f>
        <v>0</v>
      </c>
      <c r="AG22" s="206"/>
      <c r="AH22" s="223">
        <f t="shared" ref="AH22:AH34" si="30">IF(AL22=0,I22,0)</f>
        <v>0</v>
      </c>
      <c r="AI22" s="223">
        <f t="shared" ref="AI22:AI34" si="31">IF(AL22=15,I22,0)</f>
        <v>0</v>
      </c>
      <c r="AJ22" s="223">
        <f t="shared" ref="AJ22:AJ34" si="32">IF(AL22=21,I22,0)</f>
        <v>0</v>
      </c>
      <c r="AL22" s="223">
        <v>0</v>
      </c>
      <c r="AM22" s="223">
        <f>H22*0</f>
        <v>0</v>
      </c>
      <c r="AN22" s="223">
        <f>H22*(1-0)</f>
        <v>0</v>
      </c>
      <c r="AO22" s="225" t="s">
        <v>146</v>
      </c>
      <c r="AT22" s="223">
        <f t="shared" ref="AT22:AT34" si="33">AU22+AV22</f>
        <v>0</v>
      </c>
      <c r="AU22" s="223">
        <f t="shared" ref="AU22:AU34" si="34">G22*AM22</f>
        <v>0</v>
      </c>
      <c r="AV22" s="223">
        <f t="shared" ref="AV22:AV34" si="35">G22*AN22</f>
        <v>0</v>
      </c>
      <c r="AW22" s="225" t="s">
        <v>347</v>
      </c>
      <c r="AX22" s="225" t="s">
        <v>334</v>
      </c>
      <c r="AY22" s="206" t="s">
        <v>335</v>
      </c>
      <c r="BA22" s="223">
        <f t="shared" ref="BA22:BA34" si="36">AU22+AV22</f>
        <v>0</v>
      </c>
      <c r="BB22" s="223">
        <f t="shared" ref="BB22:BB34" si="37">H22/(100-BC22)*100</f>
        <v>0</v>
      </c>
      <c r="BC22" s="223">
        <v>0</v>
      </c>
      <c r="BD22" s="223">
        <f t="shared" ref="BD22:BD34" si="38">K22</f>
        <v>0</v>
      </c>
      <c r="BF22" s="223">
        <f t="shared" ref="BF22:BF34" si="39">G22*AM22</f>
        <v>0</v>
      </c>
      <c r="BG22" s="223">
        <f t="shared" ref="BG22:BG34" si="40">G22*AN22</f>
        <v>0</v>
      </c>
      <c r="BH22" s="223">
        <f t="shared" ref="BH22:BH34" si="41">G22*H22</f>
        <v>0</v>
      </c>
      <c r="BI22" s="223" t="s">
        <v>336</v>
      </c>
      <c r="BJ22" s="223">
        <v>722</v>
      </c>
    </row>
    <row r="23" spans="1:62" x14ac:dyDescent="0.2">
      <c r="A23" s="221" t="s">
        <v>142</v>
      </c>
      <c r="B23" s="222"/>
      <c r="C23" s="222"/>
      <c r="D23" s="285" t="s">
        <v>348</v>
      </c>
      <c r="E23" s="285"/>
      <c r="F23" s="222" t="s">
        <v>344</v>
      </c>
      <c r="G23" s="223">
        <v>1</v>
      </c>
      <c r="H23" s="223"/>
      <c r="I23" s="223">
        <f t="shared" si="21"/>
        <v>0</v>
      </c>
      <c r="J23" s="223"/>
      <c r="K23" s="223"/>
      <c r="L23" s="224"/>
      <c r="M23" s="198"/>
      <c r="X23" s="223">
        <f t="shared" si="22"/>
        <v>0</v>
      </c>
      <c r="Z23" s="223">
        <f t="shared" si="23"/>
        <v>0</v>
      </c>
      <c r="AA23" s="223">
        <f t="shared" si="24"/>
        <v>0</v>
      </c>
      <c r="AB23" s="223">
        <f t="shared" si="25"/>
        <v>0</v>
      </c>
      <c r="AC23" s="223">
        <f t="shared" si="26"/>
        <v>0</v>
      </c>
      <c r="AD23" s="223">
        <f t="shared" si="27"/>
        <v>0</v>
      </c>
      <c r="AE23" s="223">
        <f t="shared" si="28"/>
        <v>0</v>
      </c>
      <c r="AF23" s="223">
        <f t="shared" si="29"/>
        <v>0</v>
      </c>
      <c r="AG23" s="206"/>
      <c r="AH23" s="223">
        <f t="shared" si="30"/>
        <v>0</v>
      </c>
      <c r="AI23" s="223">
        <f t="shared" si="31"/>
        <v>0</v>
      </c>
      <c r="AJ23" s="223">
        <f t="shared" si="32"/>
        <v>0</v>
      </c>
      <c r="AL23" s="223">
        <v>0</v>
      </c>
      <c r="AM23" s="223">
        <f>H23*0.3991977408382</f>
        <v>0</v>
      </c>
      <c r="AN23" s="223">
        <f>H23*(1-0.3991977408382)</f>
        <v>0</v>
      </c>
      <c r="AO23" s="225" t="s">
        <v>146</v>
      </c>
      <c r="AT23" s="223">
        <f t="shared" si="33"/>
        <v>0</v>
      </c>
      <c r="AU23" s="223">
        <f t="shared" si="34"/>
        <v>0</v>
      </c>
      <c r="AV23" s="223">
        <f t="shared" si="35"/>
        <v>0</v>
      </c>
      <c r="AW23" s="225" t="s">
        <v>347</v>
      </c>
      <c r="AX23" s="225" t="s">
        <v>334</v>
      </c>
      <c r="AY23" s="206" t="s">
        <v>335</v>
      </c>
      <c r="BA23" s="223">
        <f t="shared" si="36"/>
        <v>0</v>
      </c>
      <c r="BB23" s="223">
        <f t="shared" si="37"/>
        <v>0</v>
      </c>
      <c r="BC23" s="223">
        <v>0</v>
      </c>
      <c r="BD23" s="223">
        <f t="shared" si="38"/>
        <v>0</v>
      </c>
      <c r="BF23" s="223">
        <f t="shared" si="39"/>
        <v>0</v>
      </c>
      <c r="BG23" s="223">
        <f t="shared" si="40"/>
        <v>0</v>
      </c>
      <c r="BH23" s="223">
        <f t="shared" si="41"/>
        <v>0</v>
      </c>
      <c r="BI23" s="223" t="s">
        <v>336</v>
      </c>
      <c r="BJ23" s="223">
        <v>722</v>
      </c>
    </row>
    <row r="24" spans="1:62" x14ac:dyDescent="0.2">
      <c r="A24" s="221" t="s">
        <v>163</v>
      </c>
      <c r="B24" s="222"/>
      <c r="C24" s="222"/>
      <c r="D24" s="285" t="s">
        <v>349</v>
      </c>
      <c r="E24" s="285"/>
      <c r="F24" s="222" t="s">
        <v>177</v>
      </c>
      <c r="G24" s="223">
        <v>14</v>
      </c>
      <c r="H24" s="223"/>
      <c r="I24" s="223">
        <f t="shared" si="21"/>
        <v>0</v>
      </c>
      <c r="J24" s="223"/>
      <c r="K24" s="223"/>
      <c r="L24" s="224"/>
      <c r="M24" s="198"/>
      <c r="X24" s="223">
        <f t="shared" si="22"/>
        <v>0</v>
      </c>
      <c r="Z24" s="223">
        <f t="shared" si="23"/>
        <v>0</v>
      </c>
      <c r="AA24" s="223">
        <f t="shared" si="24"/>
        <v>0</v>
      </c>
      <c r="AB24" s="223">
        <f t="shared" si="25"/>
        <v>0</v>
      </c>
      <c r="AC24" s="223">
        <f t="shared" si="26"/>
        <v>0</v>
      </c>
      <c r="AD24" s="223">
        <f t="shared" si="27"/>
        <v>0</v>
      </c>
      <c r="AE24" s="223">
        <f t="shared" si="28"/>
        <v>0</v>
      </c>
      <c r="AF24" s="223">
        <f t="shared" si="29"/>
        <v>0</v>
      </c>
      <c r="AG24" s="206"/>
      <c r="AH24" s="223">
        <f t="shared" si="30"/>
        <v>0</v>
      </c>
      <c r="AI24" s="223">
        <f t="shared" si="31"/>
        <v>0</v>
      </c>
      <c r="AJ24" s="223">
        <f t="shared" si="32"/>
        <v>0</v>
      </c>
      <c r="AL24" s="223">
        <v>0</v>
      </c>
      <c r="AM24" s="223">
        <f>H24*0.254460283954544</f>
        <v>0</v>
      </c>
      <c r="AN24" s="223">
        <f>H24*(1-0.254460283954544)</f>
        <v>0</v>
      </c>
      <c r="AO24" s="225" t="s">
        <v>146</v>
      </c>
      <c r="AT24" s="223">
        <f t="shared" si="33"/>
        <v>0</v>
      </c>
      <c r="AU24" s="223">
        <f t="shared" si="34"/>
        <v>0</v>
      </c>
      <c r="AV24" s="223">
        <f t="shared" si="35"/>
        <v>0</v>
      </c>
      <c r="AW24" s="225" t="s">
        <v>347</v>
      </c>
      <c r="AX24" s="225" t="s">
        <v>334</v>
      </c>
      <c r="AY24" s="206" t="s">
        <v>335</v>
      </c>
      <c r="BA24" s="223">
        <f t="shared" si="36"/>
        <v>0</v>
      </c>
      <c r="BB24" s="223">
        <f t="shared" si="37"/>
        <v>0</v>
      </c>
      <c r="BC24" s="223">
        <v>0</v>
      </c>
      <c r="BD24" s="223">
        <f t="shared" si="38"/>
        <v>0</v>
      </c>
      <c r="BF24" s="223">
        <f t="shared" si="39"/>
        <v>0</v>
      </c>
      <c r="BG24" s="223">
        <f t="shared" si="40"/>
        <v>0</v>
      </c>
      <c r="BH24" s="223">
        <f t="shared" si="41"/>
        <v>0</v>
      </c>
      <c r="BI24" s="223" t="s">
        <v>336</v>
      </c>
      <c r="BJ24" s="223">
        <v>722</v>
      </c>
    </row>
    <row r="25" spans="1:62" x14ac:dyDescent="0.2">
      <c r="A25" s="221" t="s">
        <v>145</v>
      </c>
      <c r="B25" s="222"/>
      <c r="C25" s="222"/>
      <c r="D25" s="285" t="s">
        <v>350</v>
      </c>
      <c r="E25" s="285"/>
      <c r="F25" s="222" t="s">
        <v>177</v>
      </c>
      <c r="G25" s="223">
        <v>14</v>
      </c>
      <c r="H25" s="223"/>
      <c r="I25" s="223">
        <f t="shared" si="21"/>
        <v>0</v>
      </c>
      <c r="J25" s="223"/>
      <c r="K25" s="223"/>
      <c r="L25" s="224"/>
      <c r="M25" s="198"/>
      <c r="X25" s="223">
        <f t="shared" si="22"/>
        <v>0</v>
      </c>
      <c r="Z25" s="223">
        <f t="shared" si="23"/>
        <v>0</v>
      </c>
      <c r="AA25" s="223">
        <f t="shared" si="24"/>
        <v>0</v>
      </c>
      <c r="AB25" s="223">
        <f t="shared" si="25"/>
        <v>0</v>
      </c>
      <c r="AC25" s="223">
        <f t="shared" si="26"/>
        <v>0</v>
      </c>
      <c r="AD25" s="223">
        <f t="shared" si="27"/>
        <v>0</v>
      </c>
      <c r="AE25" s="223">
        <f t="shared" si="28"/>
        <v>0</v>
      </c>
      <c r="AF25" s="223">
        <f t="shared" si="29"/>
        <v>0</v>
      </c>
      <c r="AG25" s="206"/>
      <c r="AH25" s="223">
        <f t="shared" si="30"/>
        <v>0</v>
      </c>
      <c r="AI25" s="223">
        <f t="shared" si="31"/>
        <v>0</v>
      </c>
      <c r="AJ25" s="223">
        <f t="shared" si="32"/>
        <v>0</v>
      </c>
      <c r="AL25" s="223">
        <v>0</v>
      </c>
      <c r="AM25" s="223">
        <f>H25*0.274361168847047</f>
        <v>0</v>
      </c>
      <c r="AN25" s="223">
        <f>H25*(1-0.274361168847047)</f>
        <v>0</v>
      </c>
      <c r="AO25" s="225" t="s">
        <v>146</v>
      </c>
      <c r="AT25" s="223">
        <f t="shared" si="33"/>
        <v>0</v>
      </c>
      <c r="AU25" s="223">
        <f t="shared" si="34"/>
        <v>0</v>
      </c>
      <c r="AV25" s="223">
        <f t="shared" si="35"/>
        <v>0</v>
      </c>
      <c r="AW25" s="225" t="s">
        <v>347</v>
      </c>
      <c r="AX25" s="225" t="s">
        <v>334</v>
      </c>
      <c r="AY25" s="206" t="s">
        <v>335</v>
      </c>
      <c r="BA25" s="223">
        <f t="shared" si="36"/>
        <v>0</v>
      </c>
      <c r="BB25" s="223">
        <f t="shared" si="37"/>
        <v>0</v>
      </c>
      <c r="BC25" s="223">
        <v>0</v>
      </c>
      <c r="BD25" s="223">
        <f t="shared" si="38"/>
        <v>0</v>
      </c>
      <c r="BF25" s="223">
        <f t="shared" si="39"/>
        <v>0</v>
      </c>
      <c r="BG25" s="223">
        <f t="shared" si="40"/>
        <v>0</v>
      </c>
      <c r="BH25" s="223">
        <f t="shared" si="41"/>
        <v>0</v>
      </c>
      <c r="BI25" s="223" t="s">
        <v>336</v>
      </c>
      <c r="BJ25" s="223">
        <v>722</v>
      </c>
    </row>
    <row r="26" spans="1:62" x14ac:dyDescent="0.2">
      <c r="A26" s="221" t="s">
        <v>170</v>
      </c>
      <c r="B26" s="222"/>
      <c r="C26" s="222"/>
      <c r="D26" s="285" t="s">
        <v>351</v>
      </c>
      <c r="E26" s="285"/>
      <c r="F26" s="222" t="s">
        <v>332</v>
      </c>
      <c r="G26" s="223">
        <v>8</v>
      </c>
      <c r="H26" s="223"/>
      <c r="I26" s="223">
        <f t="shared" si="21"/>
        <v>0</v>
      </c>
      <c r="J26" s="223"/>
      <c r="K26" s="223"/>
      <c r="L26" s="224"/>
      <c r="M26" s="198"/>
      <c r="X26" s="223">
        <f t="shared" si="22"/>
        <v>0</v>
      </c>
      <c r="Z26" s="223">
        <f t="shared" si="23"/>
        <v>0</v>
      </c>
      <c r="AA26" s="223">
        <f t="shared" si="24"/>
        <v>0</v>
      </c>
      <c r="AB26" s="223">
        <f t="shared" si="25"/>
        <v>0</v>
      </c>
      <c r="AC26" s="223">
        <f t="shared" si="26"/>
        <v>0</v>
      </c>
      <c r="AD26" s="223">
        <f t="shared" si="27"/>
        <v>0</v>
      </c>
      <c r="AE26" s="223">
        <f t="shared" si="28"/>
        <v>0</v>
      </c>
      <c r="AF26" s="223">
        <f t="shared" si="29"/>
        <v>0</v>
      </c>
      <c r="AG26" s="206"/>
      <c r="AH26" s="223">
        <f t="shared" si="30"/>
        <v>0</v>
      </c>
      <c r="AI26" s="223">
        <f t="shared" si="31"/>
        <v>0</v>
      </c>
      <c r="AJ26" s="223">
        <f t="shared" si="32"/>
        <v>0</v>
      </c>
      <c r="AL26" s="223">
        <v>0</v>
      </c>
      <c r="AM26" s="223">
        <f>H26*0</f>
        <v>0</v>
      </c>
      <c r="AN26" s="223">
        <f>H26*(1-0)</f>
        <v>0</v>
      </c>
      <c r="AO26" s="225" t="s">
        <v>146</v>
      </c>
      <c r="AT26" s="223">
        <f t="shared" si="33"/>
        <v>0</v>
      </c>
      <c r="AU26" s="223">
        <f t="shared" si="34"/>
        <v>0</v>
      </c>
      <c r="AV26" s="223">
        <f t="shared" si="35"/>
        <v>0</v>
      </c>
      <c r="AW26" s="225" t="s">
        <v>347</v>
      </c>
      <c r="AX26" s="225" t="s">
        <v>334</v>
      </c>
      <c r="AY26" s="206" t="s">
        <v>335</v>
      </c>
      <c r="BA26" s="223">
        <f t="shared" si="36"/>
        <v>0</v>
      </c>
      <c r="BB26" s="223">
        <f t="shared" si="37"/>
        <v>0</v>
      </c>
      <c r="BC26" s="223">
        <v>0</v>
      </c>
      <c r="BD26" s="223">
        <f t="shared" si="38"/>
        <v>0</v>
      </c>
      <c r="BF26" s="223">
        <f t="shared" si="39"/>
        <v>0</v>
      </c>
      <c r="BG26" s="223">
        <f t="shared" si="40"/>
        <v>0</v>
      </c>
      <c r="BH26" s="223">
        <f t="shared" si="41"/>
        <v>0</v>
      </c>
      <c r="BI26" s="223" t="s">
        <v>336</v>
      </c>
      <c r="BJ26" s="223">
        <v>722</v>
      </c>
    </row>
    <row r="27" spans="1:62" x14ac:dyDescent="0.2">
      <c r="A27" s="221" t="s">
        <v>149</v>
      </c>
      <c r="B27" s="222"/>
      <c r="C27" s="222"/>
      <c r="D27" s="285" t="s">
        <v>352</v>
      </c>
      <c r="E27" s="285"/>
      <c r="F27" s="222" t="s">
        <v>332</v>
      </c>
      <c r="G27" s="223">
        <v>2</v>
      </c>
      <c r="H27" s="223"/>
      <c r="I27" s="223">
        <f t="shared" si="21"/>
        <v>0</v>
      </c>
      <c r="J27" s="223"/>
      <c r="K27" s="223"/>
      <c r="L27" s="224"/>
      <c r="M27" s="198"/>
      <c r="X27" s="223">
        <f t="shared" si="22"/>
        <v>0</v>
      </c>
      <c r="Z27" s="223">
        <f t="shared" si="23"/>
        <v>0</v>
      </c>
      <c r="AA27" s="223">
        <f t="shared" si="24"/>
        <v>0</v>
      </c>
      <c r="AB27" s="223">
        <f t="shared" si="25"/>
        <v>0</v>
      </c>
      <c r="AC27" s="223">
        <f t="shared" si="26"/>
        <v>0</v>
      </c>
      <c r="AD27" s="223">
        <f t="shared" si="27"/>
        <v>0</v>
      </c>
      <c r="AE27" s="223">
        <f t="shared" si="28"/>
        <v>0</v>
      </c>
      <c r="AF27" s="223">
        <f t="shared" si="29"/>
        <v>0</v>
      </c>
      <c r="AG27" s="206"/>
      <c r="AH27" s="223">
        <f t="shared" si="30"/>
        <v>0</v>
      </c>
      <c r="AI27" s="223">
        <f t="shared" si="31"/>
        <v>0</v>
      </c>
      <c r="AJ27" s="223">
        <f t="shared" si="32"/>
        <v>0</v>
      </c>
      <c r="AL27" s="223">
        <v>0</v>
      </c>
      <c r="AM27" s="223">
        <f>H27*0.778812801326382</f>
        <v>0</v>
      </c>
      <c r="AN27" s="223">
        <f>H27*(1-0.778812801326382)</f>
        <v>0</v>
      </c>
      <c r="AO27" s="225" t="s">
        <v>146</v>
      </c>
      <c r="AT27" s="223">
        <f t="shared" si="33"/>
        <v>0</v>
      </c>
      <c r="AU27" s="223">
        <f t="shared" si="34"/>
        <v>0</v>
      </c>
      <c r="AV27" s="223">
        <f t="shared" si="35"/>
        <v>0</v>
      </c>
      <c r="AW27" s="225" t="s">
        <v>347</v>
      </c>
      <c r="AX27" s="225" t="s">
        <v>334</v>
      </c>
      <c r="AY27" s="206" t="s">
        <v>335</v>
      </c>
      <c r="BA27" s="223">
        <f t="shared" si="36"/>
        <v>0</v>
      </c>
      <c r="BB27" s="223">
        <f t="shared" si="37"/>
        <v>0</v>
      </c>
      <c r="BC27" s="223">
        <v>0</v>
      </c>
      <c r="BD27" s="223">
        <f t="shared" si="38"/>
        <v>0</v>
      </c>
      <c r="BF27" s="223">
        <f t="shared" si="39"/>
        <v>0</v>
      </c>
      <c r="BG27" s="223">
        <f t="shared" si="40"/>
        <v>0</v>
      </c>
      <c r="BH27" s="223">
        <f t="shared" si="41"/>
        <v>0</v>
      </c>
      <c r="BI27" s="223" t="s">
        <v>336</v>
      </c>
      <c r="BJ27" s="223">
        <v>722</v>
      </c>
    </row>
    <row r="28" spans="1:62" x14ac:dyDescent="0.2">
      <c r="A28" s="221" t="s">
        <v>8</v>
      </c>
      <c r="B28" s="222"/>
      <c r="C28" s="222"/>
      <c r="D28" s="285" t="s">
        <v>353</v>
      </c>
      <c r="E28" s="285"/>
      <c r="F28" s="222" t="s">
        <v>332</v>
      </c>
      <c r="G28" s="223">
        <v>8</v>
      </c>
      <c r="H28" s="223"/>
      <c r="I28" s="223">
        <f t="shared" si="21"/>
        <v>0</v>
      </c>
      <c r="J28" s="223"/>
      <c r="K28" s="223"/>
      <c r="L28" s="224"/>
      <c r="M28" s="198"/>
      <c r="X28" s="223">
        <f t="shared" si="22"/>
        <v>0</v>
      </c>
      <c r="Z28" s="223">
        <f t="shared" si="23"/>
        <v>0</v>
      </c>
      <c r="AA28" s="223">
        <f t="shared" si="24"/>
        <v>0</v>
      </c>
      <c r="AB28" s="223">
        <f t="shared" si="25"/>
        <v>0</v>
      </c>
      <c r="AC28" s="223">
        <f t="shared" si="26"/>
        <v>0</v>
      </c>
      <c r="AD28" s="223">
        <f t="shared" si="27"/>
        <v>0</v>
      </c>
      <c r="AE28" s="223">
        <f t="shared" si="28"/>
        <v>0</v>
      </c>
      <c r="AF28" s="223">
        <f t="shared" si="29"/>
        <v>0</v>
      </c>
      <c r="AG28" s="206"/>
      <c r="AH28" s="223">
        <f t="shared" si="30"/>
        <v>0</v>
      </c>
      <c r="AI28" s="223">
        <f t="shared" si="31"/>
        <v>0</v>
      </c>
      <c r="AJ28" s="223">
        <f t="shared" si="32"/>
        <v>0</v>
      </c>
      <c r="AL28" s="223">
        <v>0</v>
      </c>
      <c r="AM28" s="223">
        <f>H28*0.486709956709957</f>
        <v>0</v>
      </c>
      <c r="AN28" s="223">
        <f>H28*(1-0.486709956709957)</f>
        <v>0</v>
      </c>
      <c r="AO28" s="225" t="s">
        <v>146</v>
      </c>
      <c r="AT28" s="223">
        <f t="shared" si="33"/>
        <v>0</v>
      </c>
      <c r="AU28" s="223">
        <f t="shared" si="34"/>
        <v>0</v>
      </c>
      <c r="AV28" s="223">
        <f t="shared" si="35"/>
        <v>0</v>
      </c>
      <c r="AW28" s="225" t="s">
        <v>347</v>
      </c>
      <c r="AX28" s="225" t="s">
        <v>334</v>
      </c>
      <c r="AY28" s="206" t="s">
        <v>335</v>
      </c>
      <c r="BA28" s="223">
        <f t="shared" si="36"/>
        <v>0</v>
      </c>
      <c r="BB28" s="223">
        <f t="shared" si="37"/>
        <v>0</v>
      </c>
      <c r="BC28" s="223">
        <v>0</v>
      </c>
      <c r="BD28" s="223">
        <f t="shared" si="38"/>
        <v>0</v>
      </c>
      <c r="BF28" s="223">
        <f t="shared" si="39"/>
        <v>0</v>
      </c>
      <c r="BG28" s="223">
        <f t="shared" si="40"/>
        <v>0</v>
      </c>
      <c r="BH28" s="223">
        <f t="shared" si="41"/>
        <v>0</v>
      </c>
      <c r="BI28" s="223" t="s">
        <v>336</v>
      </c>
      <c r="BJ28" s="223">
        <v>722</v>
      </c>
    </row>
    <row r="29" spans="1:62" x14ac:dyDescent="0.2">
      <c r="A29" s="221" t="s">
        <v>154</v>
      </c>
      <c r="B29" s="222"/>
      <c r="C29" s="222"/>
      <c r="D29" s="285" t="s">
        <v>354</v>
      </c>
      <c r="E29" s="285"/>
      <c r="F29" s="222" t="s">
        <v>332</v>
      </c>
      <c r="G29" s="223">
        <v>2</v>
      </c>
      <c r="H29" s="223"/>
      <c r="I29" s="223">
        <f t="shared" si="21"/>
        <v>0</v>
      </c>
      <c r="J29" s="223"/>
      <c r="K29" s="223"/>
      <c r="L29" s="224"/>
      <c r="M29" s="198"/>
      <c r="X29" s="223">
        <f t="shared" si="22"/>
        <v>0</v>
      </c>
      <c r="Z29" s="223">
        <f t="shared" si="23"/>
        <v>0</v>
      </c>
      <c r="AA29" s="223">
        <f t="shared" si="24"/>
        <v>0</v>
      </c>
      <c r="AB29" s="223">
        <f t="shared" si="25"/>
        <v>0</v>
      </c>
      <c r="AC29" s="223">
        <f t="shared" si="26"/>
        <v>0</v>
      </c>
      <c r="AD29" s="223">
        <f t="shared" si="27"/>
        <v>0</v>
      </c>
      <c r="AE29" s="223">
        <f t="shared" si="28"/>
        <v>0</v>
      </c>
      <c r="AF29" s="223">
        <f t="shared" si="29"/>
        <v>0</v>
      </c>
      <c r="AG29" s="206"/>
      <c r="AH29" s="223">
        <f t="shared" si="30"/>
        <v>0</v>
      </c>
      <c r="AI29" s="223">
        <f t="shared" si="31"/>
        <v>0</v>
      </c>
      <c r="AJ29" s="223">
        <f t="shared" si="32"/>
        <v>0</v>
      </c>
      <c r="AL29" s="223">
        <v>0</v>
      </c>
      <c r="AM29" s="223">
        <f>H29*0.0991519345175309</f>
        <v>0</v>
      </c>
      <c r="AN29" s="223">
        <f>H29*(1-0.0991519345175309)</f>
        <v>0</v>
      </c>
      <c r="AO29" s="225" t="s">
        <v>146</v>
      </c>
      <c r="AT29" s="223">
        <f t="shared" si="33"/>
        <v>0</v>
      </c>
      <c r="AU29" s="223">
        <f t="shared" si="34"/>
        <v>0</v>
      </c>
      <c r="AV29" s="223">
        <f t="shared" si="35"/>
        <v>0</v>
      </c>
      <c r="AW29" s="225" t="s">
        <v>347</v>
      </c>
      <c r="AX29" s="225" t="s">
        <v>334</v>
      </c>
      <c r="AY29" s="206" t="s">
        <v>335</v>
      </c>
      <c r="BA29" s="223">
        <f t="shared" si="36"/>
        <v>0</v>
      </c>
      <c r="BB29" s="223">
        <f t="shared" si="37"/>
        <v>0</v>
      </c>
      <c r="BC29" s="223">
        <v>0</v>
      </c>
      <c r="BD29" s="223">
        <f t="shared" si="38"/>
        <v>0</v>
      </c>
      <c r="BF29" s="223">
        <f t="shared" si="39"/>
        <v>0</v>
      </c>
      <c r="BG29" s="223">
        <f t="shared" si="40"/>
        <v>0</v>
      </c>
      <c r="BH29" s="223">
        <f t="shared" si="41"/>
        <v>0</v>
      </c>
      <c r="BI29" s="223" t="s">
        <v>336</v>
      </c>
      <c r="BJ29" s="223">
        <v>722</v>
      </c>
    </row>
    <row r="30" spans="1:62" x14ac:dyDescent="0.2">
      <c r="A30" s="221" t="s">
        <v>191</v>
      </c>
      <c r="B30" s="222"/>
      <c r="C30" s="222"/>
      <c r="D30" s="285" t="s">
        <v>355</v>
      </c>
      <c r="E30" s="285"/>
      <c r="F30" s="222" t="s">
        <v>332</v>
      </c>
      <c r="G30" s="223">
        <v>2</v>
      </c>
      <c r="H30" s="223"/>
      <c r="I30" s="223">
        <f t="shared" si="21"/>
        <v>0</v>
      </c>
      <c r="J30" s="223"/>
      <c r="K30" s="223"/>
      <c r="L30" s="224"/>
      <c r="M30" s="198"/>
      <c r="X30" s="223">
        <f t="shared" si="22"/>
        <v>0</v>
      </c>
      <c r="Z30" s="223">
        <f t="shared" si="23"/>
        <v>0</v>
      </c>
      <c r="AA30" s="223">
        <f t="shared" si="24"/>
        <v>0</v>
      </c>
      <c r="AB30" s="223">
        <f t="shared" si="25"/>
        <v>0</v>
      </c>
      <c r="AC30" s="223">
        <f t="shared" si="26"/>
        <v>0</v>
      </c>
      <c r="AD30" s="223">
        <f t="shared" si="27"/>
        <v>0</v>
      </c>
      <c r="AE30" s="223">
        <f t="shared" si="28"/>
        <v>0</v>
      </c>
      <c r="AF30" s="223">
        <f t="shared" si="29"/>
        <v>0</v>
      </c>
      <c r="AG30" s="206"/>
      <c r="AH30" s="223">
        <f t="shared" si="30"/>
        <v>0</v>
      </c>
      <c r="AI30" s="223">
        <f t="shared" si="31"/>
        <v>0</v>
      </c>
      <c r="AJ30" s="223">
        <f t="shared" si="32"/>
        <v>0</v>
      </c>
      <c r="AL30" s="223">
        <v>0</v>
      </c>
      <c r="AM30" s="223">
        <f>H30*0.438519804796264</f>
        <v>0</v>
      </c>
      <c r="AN30" s="223">
        <f>H30*(1-0.438519804796264)</f>
        <v>0</v>
      </c>
      <c r="AO30" s="225" t="s">
        <v>146</v>
      </c>
      <c r="AT30" s="223">
        <f t="shared" si="33"/>
        <v>0</v>
      </c>
      <c r="AU30" s="223">
        <f t="shared" si="34"/>
        <v>0</v>
      </c>
      <c r="AV30" s="223">
        <f t="shared" si="35"/>
        <v>0</v>
      </c>
      <c r="AW30" s="225" t="s">
        <v>347</v>
      </c>
      <c r="AX30" s="225" t="s">
        <v>334</v>
      </c>
      <c r="AY30" s="206" t="s">
        <v>335</v>
      </c>
      <c r="BA30" s="223">
        <f t="shared" si="36"/>
        <v>0</v>
      </c>
      <c r="BB30" s="223">
        <f t="shared" si="37"/>
        <v>0</v>
      </c>
      <c r="BC30" s="223">
        <v>0</v>
      </c>
      <c r="BD30" s="223">
        <f t="shared" si="38"/>
        <v>0</v>
      </c>
      <c r="BF30" s="223">
        <f t="shared" si="39"/>
        <v>0</v>
      </c>
      <c r="BG30" s="223">
        <f t="shared" si="40"/>
        <v>0</v>
      </c>
      <c r="BH30" s="223">
        <f t="shared" si="41"/>
        <v>0</v>
      </c>
      <c r="BI30" s="223" t="s">
        <v>336</v>
      </c>
      <c r="BJ30" s="223">
        <v>722</v>
      </c>
    </row>
    <row r="31" spans="1:62" x14ac:dyDescent="0.2">
      <c r="A31" s="221" t="s">
        <v>159</v>
      </c>
      <c r="B31" s="222"/>
      <c r="C31" s="222"/>
      <c r="D31" s="285" t="s">
        <v>356</v>
      </c>
      <c r="E31" s="285"/>
      <c r="F31" s="222" t="s">
        <v>332</v>
      </c>
      <c r="G31" s="223">
        <v>1</v>
      </c>
      <c r="H31" s="223"/>
      <c r="I31" s="223">
        <f t="shared" si="21"/>
        <v>0</v>
      </c>
      <c r="J31" s="223"/>
      <c r="K31" s="223"/>
      <c r="L31" s="224"/>
      <c r="M31" s="198"/>
      <c r="X31" s="223">
        <f t="shared" si="22"/>
        <v>0</v>
      </c>
      <c r="Z31" s="223">
        <f t="shared" si="23"/>
        <v>0</v>
      </c>
      <c r="AA31" s="223">
        <f t="shared" si="24"/>
        <v>0</v>
      </c>
      <c r="AB31" s="223">
        <f t="shared" si="25"/>
        <v>0</v>
      </c>
      <c r="AC31" s="223">
        <f t="shared" si="26"/>
        <v>0</v>
      </c>
      <c r="AD31" s="223">
        <f t="shared" si="27"/>
        <v>0</v>
      </c>
      <c r="AE31" s="223">
        <f t="shared" si="28"/>
        <v>0</v>
      </c>
      <c r="AF31" s="223">
        <f t="shared" si="29"/>
        <v>0</v>
      </c>
      <c r="AG31" s="206"/>
      <c r="AH31" s="223">
        <f t="shared" si="30"/>
        <v>0</v>
      </c>
      <c r="AI31" s="223">
        <f t="shared" si="31"/>
        <v>0</v>
      </c>
      <c r="AJ31" s="223">
        <f t="shared" si="32"/>
        <v>0</v>
      </c>
      <c r="AL31" s="223">
        <v>0</v>
      </c>
      <c r="AM31" s="223">
        <f>H31*1</f>
        <v>0</v>
      </c>
      <c r="AN31" s="223">
        <f>H31*(1-1)</f>
        <v>0</v>
      </c>
      <c r="AO31" s="225" t="s">
        <v>146</v>
      </c>
      <c r="AT31" s="223">
        <f t="shared" si="33"/>
        <v>0</v>
      </c>
      <c r="AU31" s="223">
        <f t="shared" si="34"/>
        <v>0</v>
      </c>
      <c r="AV31" s="223">
        <f t="shared" si="35"/>
        <v>0</v>
      </c>
      <c r="AW31" s="225" t="s">
        <v>347</v>
      </c>
      <c r="AX31" s="225" t="s">
        <v>334</v>
      </c>
      <c r="AY31" s="206" t="s">
        <v>335</v>
      </c>
      <c r="BA31" s="223">
        <f t="shared" si="36"/>
        <v>0</v>
      </c>
      <c r="BB31" s="223">
        <f t="shared" si="37"/>
        <v>0</v>
      </c>
      <c r="BC31" s="223">
        <v>0</v>
      </c>
      <c r="BD31" s="223">
        <f t="shared" si="38"/>
        <v>0</v>
      </c>
      <c r="BF31" s="223">
        <f t="shared" si="39"/>
        <v>0</v>
      </c>
      <c r="BG31" s="223">
        <f t="shared" si="40"/>
        <v>0</v>
      </c>
      <c r="BH31" s="223">
        <f t="shared" si="41"/>
        <v>0</v>
      </c>
      <c r="BI31" s="223" t="s">
        <v>219</v>
      </c>
      <c r="BJ31" s="223">
        <v>722</v>
      </c>
    </row>
    <row r="32" spans="1:62" x14ac:dyDescent="0.2">
      <c r="A32" s="221" t="s">
        <v>200</v>
      </c>
      <c r="B32" s="222"/>
      <c r="C32" s="222"/>
      <c r="D32" s="285" t="s">
        <v>357</v>
      </c>
      <c r="E32" s="285"/>
      <c r="F32" s="222" t="s">
        <v>332</v>
      </c>
      <c r="G32" s="223">
        <v>1</v>
      </c>
      <c r="H32" s="223"/>
      <c r="I32" s="223">
        <f t="shared" si="21"/>
        <v>0</v>
      </c>
      <c r="J32" s="223"/>
      <c r="K32" s="223"/>
      <c r="L32" s="224"/>
      <c r="M32" s="198"/>
      <c r="X32" s="223">
        <f t="shared" si="22"/>
        <v>0</v>
      </c>
      <c r="Z32" s="223">
        <f t="shared" si="23"/>
        <v>0</v>
      </c>
      <c r="AA32" s="223">
        <f t="shared" si="24"/>
        <v>0</v>
      </c>
      <c r="AB32" s="223">
        <f t="shared" si="25"/>
        <v>0</v>
      </c>
      <c r="AC32" s="223">
        <f t="shared" si="26"/>
        <v>0</v>
      </c>
      <c r="AD32" s="223">
        <f t="shared" si="27"/>
        <v>0</v>
      </c>
      <c r="AE32" s="223">
        <f t="shared" si="28"/>
        <v>0</v>
      </c>
      <c r="AF32" s="223">
        <f t="shared" si="29"/>
        <v>0</v>
      </c>
      <c r="AG32" s="206"/>
      <c r="AH32" s="223">
        <f t="shared" si="30"/>
        <v>0</v>
      </c>
      <c r="AI32" s="223">
        <f t="shared" si="31"/>
        <v>0</v>
      </c>
      <c r="AJ32" s="223">
        <f t="shared" si="32"/>
        <v>0</v>
      </c>
      <c r="AL32" s="223">
        <v>0</v>
      </c>
      <c r="AM32" s="223">
        <f>H32*1</f>
        <v>0</v>
      </c>
      <c r="AN32" s="223">
        <f>H32*(1-1)</f>
        <v>0</v>
      </c>
      <c r="AO32" s="225" t="s">
        <v>146</v>
      </c>
      <c r="AT32" s="223">
        <f t="shared" si="33"/>
        <v>0</v>
      </c>
      <c r="AU32" s="223">
        <f t="shared" si="34"/>
        <v>0</v>
      </c>
      <c r="AV32" s="223">
        <f t="shared" si="35"/>
        <v>0</v>
      </c>
      <c r="AW32" s="225" t="s">
        <v>347</v>
      </c>
      <c r="AX32" s="225" t="s">
        <v>334</v>
      </c>
      <c r="AY32" s="206" t="s">
        <v>335</v>
      </c>
      <c r="BA32" s="223">
        <f t="shared" si="36"/>
        <v>0</v>
      </c>
      <c r="BB32" s="223">
        <f t="shared" si="37"/>
        <v>0</v>
      </c>
      <c r="BC32" s="223">
        <v>0</v>
      </c>
      <c r="BD32" s="223">
        <f t="shared" si="38"/>
        <v>0</v>
      </c>
      <c r="BF32" s="223">
        <f t="shared" si="39"/>
        <v>0</v>
      </c>
      <c r="BG32" s="223">
        <f t="shared" si="40"/>
        <v>0</v>
      </c>
      <c r="BH32" s="223">
        <f t="shared" si="41"/>
        <v>0</v>
      </c>
      <c r="BI32" s="223" t="s">
        <v>219</v>
      </c>
      <c r="BJ32" s="223">
        <v>722</v>
      </c>
    </row>
    <row r="33" spans="1:62" x14ac:dyDescent="0.2">
      <c r="A33" s="221" t="s">
        <v>162</v>
      </c>
      <c r="B33" s="222"/>
      <c r="C33" s="222"/>
      <c r="D33" s="285" t="s">
        <v>343</v>
      </c>
      <c r="E33" s="285"/>
      <c r="F33" s="222" t="s">
        <v>344</v>
      </c>
      <c r="G33" s="223">
        <v>1</v>
      </c>
      <c r="H33" s="223"/>
      <c r="I33" s="223">
        <f t="shared" si="21"/>
        <v>0</v>
      </c>
      <c r="J33" s="223"/>
      <c r="K33" s="223"/>
      <c r="L33" s="224"/>
      <c r="M33" s="198"/>
      <c r="X33" s="223">
        <f t="shared" si="22"/>
        <v>0</v>
      </c>
      <c r="Z33" s="223">
        <f t="shared" si="23"/>
        <v>0</v>
      </c>
      <c r="AA33" s="223">
        <f t="shared" si="24"/>
        <v>0</v>
      </c>
      <c r="AB33" s="223">
        <f t="shared" si="25"/>
        <v>0</v>
      </c>
      <c r="AC33" s="223">
        <f t="shared" si="26"/>
        <v>0</v>
      </c>
      <c r="AD33" s="223">
        <f t="shared" si="27"/>
        <v>0</v>
      </c>
      <c r="AE33" s="223">
        <f t="shared" si="28"/>
        <v>0</v>
      </c>
      <c r="AF33" s="223">
        <f t="shared" si="29"/>
        <v>0</v>
      </c>
      <c r="AG33" s="206"/>
      <c r="AH33" s="223">
        <f t="shared" si="30"/>
        <v>0</v>
      </c>
      <c r="AI33" s="223">
        <f t="shared" si="31"/>
        <v>0</v>
      </c>
      <c r="AJ33" s="223">
        <f t="shared" si="32"/>
        <v>0</v>
      </c>
      <c r="AL33" s="223">
        <v>0</v>
      </c>
      <c r="AM33" s="223">
        <f>H33*0</f>
        <v>0</v>
      </c>
      <c r="AN33" s="223">
        <f>H33*(1-0)</f>
        <v>0</v>
      </c>
      <c r="AO33" s="225" t="s">
        <v>146</v>
      </c>
      <c r="AT33" s="223">
        <f t="shared" si="33"/>
        <v>0</v>
      </c>
      <c r="AU33" s="223">
        <f t="shared" si="34"/>
        <v>0</v>
      </c>
      <c r="AV33" s="223">
        <f t="shared" si="35"/>
        <v>0</v>
      </c>
      <c r="AW33" s="225" t="s">
        <v>347</v>
      </c>
      <c r="AX33" s="225" t="s">
        <v>334</v>
      </c>
      <c r="AY33" s="206" t="s">
        <v>335</v>
      </c>
      <c r="BA33" s="223">
        <f t="shared" si="36"/>
        <v>0</v>
      </c>
      <c r="BB33" s="223">
        <f t="shared" si="37"/>
        <v>0</v>
      </c>
      <c r="BC33" s="223">
        <v>0</v>
      </c>
      <c r="BD33" s="223">
        <f t="shared" si="38"/>
        <v>0</v>
      </c>
      <c r="BF33" s="223">
        <f t="shared" si="39"/>
        <v>0</v>
      </c>
      <c r="BG33" s="223">
        <f t="shared" si="40"/>
        <v>0</v>
      </c>
      <c r="BH33" s="223">
        <f t="shared" si="41"/>
        <v>0</v>
      </c>
      <c r="BI33" s="223" t="s">
        <v>336</v>
      </c>
      <c r="BJ33" s="223">
        <v>722</v>
      </c>
    </row>
    <row r="34" spans="1:62" x14ac:dyDescent="0.2">
      <c r="A34" s="221" t="s">
        <v>7</v>
      </c>
      <c r="B34" s="222"/>
      <c r="C34" s="222"/>
      <c r="D34" s="285" t="s">
        <v>358</v>
      </c>
      <c r="E34" s="285"/>
      <c r="F34" s="222" t="s">
        <v>344</v>
      </c>
      <c r="G34" s="223">
        <v>1</v>
      </c>
      <c r="H34" s="223"/>
      <c r="I34" s="223">
        <f t="shared" si="21"/>
        <v>0</v>
      </c>
      <c r="J34" s="223"/>
      <c r="K34" s="223"/>
      <c r="L34" s="224"/>
      <c r="M34" s="198"/>
      <c r="X34" s="223">
        <f t="shared" si="22"/>
        <v>0</v>
      </c>
      <c r="Z34" s="223">
        <f t="shared" si="23"/>
        <v>0</v>
      </c>
      <c r="AA34" s="223">
        <f t="shared" si="24"/>
        <v>0</v>
      </c>
      <c r="AB34" s="223">
        <f t="shared" si="25"/>
        <v>0</v>
      </c>
      <c r="AC34" s="223">
        <f t="shared" si="26"/>
        <v>0</v>
      </c>
      <c r="AD34" s="223">
        <f t="shared" si="27"/>
        <v>0</v>
      </c>
      <c r="AE34" s="223">
        <f t="shared" si="28"/>
        <v>0</v>
      </c>
      <c r="AF34" s="223">
        <f t="shared" si="29"/>
        <v>0</v>
      </c>
      <c r="AG34" s="206"/>
      <c r="AH34" s="223">
        <f t="shared" si="30"/>
        <v>0</v>
      </c>
      <c r="AI34" s="223">
        <f t="shared" si="31"/>
        <v>0</v>
      </c>
      <c r="AJ34" s="223">
        <f t="shared" si="32"/>
        <v>0</v>
      </c>
      <c r="AL34" s="223">
        <v>0</v>
      </c>
      <c r="AM34" s="223">
        <f>H34*0</f>
        <v>0</v>
      </c>
      <c r="AN34" s="223">
        <f>H34*(1-0)</f>
        <v>0</v>
      </c>
      <c r="AO34" s="225" t="s">
        <v>146</v>
      </c>
      <c r="AT34" s="223">
        <f t="shared" si="33"/>
        <v>0</v>
      </c>
      <c r="AU34" s="223">
        <f t="shared" si="34"/>
        <v>0</v>
      </c>
      <c r="AV34" s="223">
        <f t="shared" si="35"/>
        <v>0</v>
      </c>
      <c r="AW34" s="225" t="s">
        <v>347</v>
      </c>
      <c r="AX34" s="225" t="s">
        <v>334</v>
      </c>
      <c r="AY34" s="206" t="s">
        <v>335</v>
      </c>
      <c r="BA34" s="223">
        <f t="shared" si="36"/>
        <v>0</v>
      </c>
      <c r="BB34" s="223">
        <f t="shared" si="37"/>
        <v>0</v>
      </c>
      <c r="BC34" s="223">
        <v>0</v>
      </c>
      <c r="BD34" s="223">
        <f t="shared" si="38"/>
        <v>0</v>
      </c>
      <c r="BF34" s="223">
        <f t="shared" si="39"/>
        <v>0</v>
      </c>
      <c r="BG34" s="223">
        <f t="shared" si="40"/>
        <v>0</v>
      </c>
      <c r="BH34" s="223">
        <f t="shared" si="41"/>
        <v>0</v>
      </c>
      <c r="BI34" s="223" t="s">
        <v>336</v>
      </c>
      <c r="BJ34" s="223">
        <v>722</v>
      </c>
    </row>
    <row r="35" spans="1:62" x14ac:dyDescent="0.2">
      <c r="A35" s="226"/>
      <c r="B35" s="227"/>
      <c r="C35" s="227"/>
      <c r="D35" s="286" t="s">
        <v>359</v>
      </c>
      <c r="E35" s="286"/>
      <c r="F35" s="228" t="s">
        <v>27</v>
      </c>
      <c r="G35" s="228" t="s">
        <v>27</v>
      </c>
      <c r="H35" s="228"/>
      <c r="I35" s="220">
        <f>SUM(I36:I54)</f>
        <v>0</v>
      </c>
      <c r="J35" s="206"/>
      <c r="K35" s="220"/>
      <c r="L35" s="229"/>
      <c r="M35" s="198"/>
      <c r="AG35" s="206"/>
      <c r="AQ35" s="220">
        <f>SUM(AH36:AH54)</f>
        <v>0</v>
      </c>
      <c r="AR35" s="220">
        <f>SUM(AI36:AI54)</f>
        <v>0</v>
      </c>
      <c r="AS35" s="220">
        <f>SUM(AJ36:AJ54)</f>
        <v>0</v>
      </c>
    </row>
    <row r="36" spans="1:62" ht="26.45" customHeight="1" x14ac:dyDescent="0.2">
      <c r="A36" s="221" t="s">
        <v>166</v>
      </c>
      <c r="B36" s="222"/>
      <c r="C36" s="222"/>
      <c r="D36" s="290" t="s">
        <v>360</v>
      </c>
      <c r="E36" s="290"/>
      <c r="F36" s="222" t="s">
        <v>344</v>
      </c>
      <c r="G36" s="223">
        <v>1</v>
      </c>
      <c r="H36" s="223"/>
      <c r="I36" s="223">
        <f t="shared" ref="I36:I54" si="42">G36*H36</f>
        <v>0</v>
      </c>
      <c r="J36" s="223"/>
      <c r="K36" s="223"/>
      <c r="L36" s="224"/>
      <c r="M36" s="198"/>
      <c r="X36" s="223">
        <f t="shared" ref="X36:X54" si="43">IF(AO36="5",BH36,0)</f>
        <v>0</v>
      </c>
      <c r="Z36" s="223">
        <f t="shared" ref="Z36:Z54" si="44">IF(AO36="1",BF36,0)</f>
        <v>0</v>
      </c>
      <c r="AA36" s="223">
        <f t="shared" ref="AA36:AA54" si="45">IF(AO36="1",BG36,0)</f>
        <v>0</v>
      </c>
      <c r="AB36" s="223">
        <f t="shared" ref="AB36:AB54" si="46">IF(AO36="7",BF36,0)</f>
        <v>0</v>
      </c>
      <c r="AC36" s="223">
        <f t="shared" ref="AC36:AC54" si="47">IF(AO36="7",BG36,0)</f>
        <v>0</v>
      </c>
      <c r="AD36" s="223">
        <f t="shared" ref="AD36:AD54" si="48">IF(AO36="2",BF36,0)</f>
        <v>0</v>
      </c>
      <c r="AE36" s="223">
        <f t="shared" ref="AE36:AE54" si="49">IF(AO36="2",BG36,0)</f>
        <v>0</v>
      </c>
      <c r="AF36" s="223">
        <f t="shared" ref="AF36:AF54" si="50">IF(AO36="0",BH36,0)</f>
        <v>0</v>
      </c>
      <c r="AG36" s="206"/>
      <c r="AH36" s="223">
        <f t="shared" ref="AH36:AH54" si="51">IF(AL36=0,I36,0)</f>
        <v>0</v>
      </c>
      <c r="AI36" s="223">
        <f t="shared" ref="AI36:AI54" si="52">IF(AL36=15,I36,0)</f>
        <v>0</v>
      </c>
      <c r="AJ36" s="223">
        <f t="shared" ref="AJ36:AJ54" si="53">IF(AL36=21,I36,0)</f>
        <v>0</v>
      </c>
      <c r="AL36" s="223">
        <v>0</v>
      </c>
      <c r="AM36" s="223">
        <f>H36*0.844985422740525</f>
        <v>0</v>
      </c>
      <c r="AN36" s="223">
        <f>H36*(1-0.844985422740525)</f>
        <v>0</v>
      </c>
      <c r="AO36" s="225" t="s">
        <v>146</v>
      </c>
      <c r="AT36" s="223">
        <f t="shared" ref="AT36:AT54" si="54">AU36+AV36</f>
        <v>0</v>
      </c>
      <c r="AU36" s="223">
        <f t="shared" ref="AU36:AU54" si="55">G36*AM36</f>
        <v>0</v>
      </c>
      <c r="AV36" s="223">
        <f t="shared" ref="AV36:AV54" si="56">G36*AN36</f>
        <v>0</v>
      </c>
      <c r="AW36" s="225" t="s">
        <v>361</v>
      </c>
      <c r="AX36" s="225" t="s">
        <v>334</v>
      </c>
      <c r="AY36" s="206" t="s">
        <v>335</v>
      </c>
      <c r="BA36" s="223">
        <f t="shared" ref="BA36:BA54" si="57">AU36+AV36</f>
        <v>0</v>
      </c>
      <c r="BB36" s="223">
        <f t="shared" ref="BB36:BB54" si="58">H36/(100-BC36)*100</f>
        <v>0</v>
      </c>
      <c r="BC36" s="223">
        <v>0</v>
      </c>
      <c r="BD36" s="223">
        <f t="shared" ref="BD36:BD54" si="59">K36</f>
        <v>0</v>
      </c>
      <c r="BF36" s="223">
        <f t="shared" ref="BF36:BF54" si="60">G36*AM36</f>
        <v>0</v>
      </c>
      <c r="BG36" s="223">
        <f t="shared" ref="BG36:BG54" si="61">G36*AN36</f>
        <v>0</v>
      </c>
      <c r="BH36" s="223">
        <f t="shared" ref="BH36:BH54" si="62">G36*H36</f>
        <v>0</v>
      </c>
      <c r="BI36" s="223" t="s">
        <v>336</v>
      </c>
      <c r="BJ36" s="223">
        <v>725</v>
      </c>
    </row>
    <row r="37" spans="1:62" ht="15.6" customHeight="1" x14ac:dyDescent="0.2">
      <c r="A37" s="221" t="s">
        <v>362</v>
      </c>
      <c r="B37" s="222"/>
      <c r="C37" s="222"/>
      <c r="D37" s="289" t="s">
        <v>363</v>
      </c>
      <c r="E37" s="285"/>
      <c r="F37" s="222" t="s">
        <v>332</v>
      </c>
      <c r="G37" s="223">
        <v>1</v>
      </c>
      <c r="H37" s="223"/>
      <c r="I37" s="223">
        <f t="shared" si="42"/>
        <v>0</v>
      </c>
      <c r="J37" s="223"/>
      <c r="K37" s="223"/>
      <c r="L37" s="224"/>
      <c r="M37" s="198"/>
      <c r="X37" s="223">
        <f t="shared" si="43"/>
        <v>0</v>
      </c>
      <c r="Z37" s="223">
        <f t="shared" si="44"/>
        <v>0</v>
      </c>
      <c r="AA37" s="223">
        <f t="shared" si="45"/>
        <v>0</v>
      </c>
      <c r="AB37" s="223">
        <f t="shared" si="46"/>
        <v>0</v>
      </c>
      <c r="AC37" s="223">
        <f t="shared" si="47"/>
        <v>0</v>
      </c>
      <c r="AD37" s="223">
        <f t="shared" si="48"/>
        <v>0</v>
      </c>
      <c r="AE37" s="223">
        <f t="shared" si="49"/>
        <v>0</v>
      </c>
      <c r="AF37" s="223">
        <f t="shared" si="50"/>
        <v>0</v>
      </c>
      <c r="AG37" s="206"/>
      <c r="AH37" s="223">
        <f t="shared" si="51"/>
        <v>0</v>
      </c>
      <c r="AI37" s="223">
        <f t="shared" si="52"/>
        <v>0</v>
      </c>
      <c r="AJ37" s="223">
        <f t="shared" si="53"/>
        <v>0</v>
      </c>
      <c r="AL37" s="223">
        <v>0</v>
      </c>
      <c r="AM37" s="223">
        <f>H37*1</f>
        <v>0</v>
      </c>
      <c r="AN37" s="223">
        <f>H37*(1-1)</f>
        <v>0</v>
      </c>
      <c r="AO37" s="225" t="s">
        <v>146</v>
      </c>
      <c r="AT37" s="223">
        <f t="shared" si="54"/>
        <v>0</v>
      </c>
      <c r="AU37" s="223">
        <f t="shared" si="55"/>
        <v>0</v>
      </c>
      <c r="AV37" s="223">
        <f t="shared" si="56"/>
        <v>0</v>
      </c>
      <c r="AW37" s="225" t="s">
        <v>361</v>
      </c>
      <c r="AX37" s="225" t="s">
        <v>334</v>
      </c>
      <c r="AY37" s="206" t="s">
        <v>335</v>
      </c>
      <c r="BA37" s="223">
        <f t="shared" si="57"/>
        <v>0</v>
      </c>
      <c r="BB37" s="223">
        <f t="shared" si="58"/>
        <v>0</v>
      </c>
      <c r="BC37" s="223">
        <v>0</v>
      </c>
      <c r="BD37" s="223">
        <f t="shared" si="59"/>
        <v>0</v>
      </c>
      <c r="BF37" s="223">
        <f t="shared" si="60"/>
        <v>0</v>
      </c>
      <c r="BG37" s="223">
        <f t="shared" si="61"/>
        <v>0</v>
      </c>
      <c r="BH37" s="223">
        <f t="shared" si="62"/>
        <v>0</v>
      </c>
      <c r="BI37" s="223" t="s">
        <v>219</v>
      </c>
      <c r="BJ37" s="223">
        <v>725</v>
      </c>
    </row>
    <row r="38" spans="1:62" ht="25.15" customHeight="1" x14ac:dyDescent="0.2">
      <c r="A38" s="221" t="s">
        <v>169</v>
      </c>
      <c r="B38" s="222"/>
      <c r="C38" s="222"/>
      <c r="D38" s="289" t="s">
        <v>364</v>
      </c>
      <c r="E38" s="285"/>
      <c r="F38" s="222" t="s">
        <v>332</v>
      </c>
      <c r="G38" s="223">
        <v>1</v>
      </c>
      <c r="H38" s="223"/>
      <c r="I38" s="223">
        <f t="shared" si="42"/>
        <v>0</v>
      </c>
      <c r="J38" s="223"/>
      <c r="K38" s="223"/>
      <c r="L38" s="224"/>
      <c r="M38" s="198"/>
      <c r="X38" s="223">
        <f t="shared" si="43"/>
        <v>0</v>
      </c>
      <c r="Z38" s="223">
        <f t="shared" si="44"/>
        <v>0</v>
      </c>
      <c r="AA38" s="223">
        <f t="shared" si="45"/>
        <v>0</v>
      </c>
      <c r="AB38" s="223">
        <f t="shared" si="46"/>
        <v>0</v>
      </c>
      <c r="AC38" s="223">
        <f t="shared" si="47"/>
        <v>0</v>
      </c>
      <c r="AD38" s="223">
        <f t="shared" si="48"/>
        <v>0</v>
      </c>
      <c r="AE38" s="223">
        <f t="shared" si="49"/>
        <v>0</v>
      </c>
      <c r="AF38" s="223">
        <f t="shared" si="50"/>
        <v>0</v>
      </c>
      <c r="AG38" s="206"/>
      <c r="AH38" s="223">
        <f t="shared" si="51"/>
        <v>0</v>
      </c>
      <c r="AI38" s="223">
        <f t="shared" si="52"/>
        <v>0</v>
      </c>
      <c r="AJ38" s="223">
        <f t="shared" si="53"/>
        <v>0</v>
      </c>
      <c r="AL38" s="223">
        <v>0</v>
      </c>
      <c r="AM38" s="223">
        <f>H38*1</f>
        <v>0</v>
      </c>
      <c r="AN38" s="223">
        <f>H38*(1-1)</f>
        <v>0</v>
      </c>
      <c r="AO38" s="225" t="s">
        <v>146</v>
      </c>
      <c r="AT38" s="223">
        <f t="shared" si="54"/>
        <v>0</v>
      </c>
      <c r="AU38" s="223">
        <f t="shared" si="55"/>
        <v>0</v>
      </c>
      <c r="AV38" s="223">
        <f t="shared" si="56"/>
        <v>0</v>
      </c>
      <c r="AW38" s="225" t="s">
        <v>361</v>
      </c>
      <c r="AX38" s="225" t="s">
        <v>334</v>
      </c>
      <c r="AY38" s="206" t="s">
        <v>335</v>
      </c>
      <c r="BA38" s="223">
        <f t="shared" si="57"/>
        <v>0</v>
      </c>
      <c r="BB38" s="223">
        <f t="shared" si="58"/>
        <v>0</v>
      </c>
      <c r="BC38" s="223">
        <v>0</v>
      </c>
      <c r="BD38" s="223">
        <f t="shared" si="59"/>
        <v>0</v>
      </c>
      <c r="BF38" s="223">
        <f t="shared" si="60"/>
        <v>0</v>
      </c>
      <c r="BG38" s="223">
        <f t="shared" si="61"/>
        <v>0</v>
      </c>
      <c r="BH38" s="223">
        <f t="shared" si="62"/>
        <v>0</v>
      </c>
      <c r="BI38" s="223" t="s">
        <v>219</v>
      </c>
      <c r="BJ38" s="223">
        <v>725</v>
      </c>
    </row>
    <row r="39" spans="1:62" ht="22.9" customHeight="1" x14ac:dyDescent="0.2">
      <c r="A39" s="221" t="s">
        <v>365</v>
      </c>
      <c r="B39" s="222"/>
      <c r="C39" s="222"/>
      <c r="D39" s="289" t="s">
        <v>366</v>
      </c>
      <c r="E39" s="289"/>
      <c r="F39" s="222" t="s">
        <v>344</v>
      </c>
      <c r="G39" s="223">
        <v>1</v>
      </c>
      <c r="H39" s="223"/>
      <c r="I39" s="223">
        <f t="shared" si="42"/>
        <v>0</v>
      </c>
      <c r="J39" s="223"/>
      <c r="K39" s="223"/>
      <c r="L39" s="224"/>
      <c r="M39" s="198"/>
      <c r="X39" s="223">
        <f t="shared" si="43"/>
        <v>0</v>
      </c>
      <c r="Z39" s="223">
        <f t="shared" si="44"/>
        <v>0</v>
      </c>
      <c r="AA39" s="223">
        <f t="shared" si="45"/>
        <v>0</v>
      </c>
      <c r="AB39" s="223">
        <f t="shared" si="46"/>
        <v>0</v>
      </c>
      <c r="AC39" s="223">
        <f t="shared" si="47"/>
        <v>0</v>
      </c>
      <c r="AD39" s="223">
        <f t="shared" si="48"/>
        <v>0</v>
      </c>
      <c r="AE39" s="223">
        <f t="shared" si="49"/>
        <v>0</v>
      </c>
      <c r="AF39" s="223">
        <f t="shared" si="50"/>
        <v>0</v>
      </c>
      <c r="AG39" s="206"/>
      <c r="AH39" s="223">
        <f t="shared" si="51"/>
        <v>0</v>
      </c>
      <c r="AI39" s="223">
        <f t="shared" si="52"/>
        <v>0</v>
      </c>
      <c r="AJ39" s="223">
        <f t="shared" si="53"/>
        <v>0</v>
      </c>
      <c r="AL39" s="223">
        <v>0</v>
      </c>
      <c r="AM39" s="223">
        <f>H39*0.631039182282794</f>
        <v>0</v>
      </c>
      <c r="AN39" s="223">
        <f>H39*(1-0.631039182282794)</f>
        <v>0</v>
      </c>
      <c r="AO39" s="225" t="s">
        <v>146</v>
      </c>
      <c r="AT39" s="223">
        <f t="shared" si="54"/>
        <v>0</v>
      </c>
      <c r="AU39" s="223">
        <f t="shared" si="55"/>
        <v>0</v>
      </c>
      <c r="AV39" s="223">
        <f t="shared" si="56"/>
        <v>0</v>
      </c>
      <c r="AW39" s="225" t="s">
        <v>361</v>
      </c>
      <c r="AX39" s="225" t="s">
        <v>334</v>
      </c>
      <c r="AY39" s="206" t="s">
        <v>335</v>
      </c>
      <c r="BA39" s="223">
        <f t="shared" si="57"/>
        <v>0</v>
      </c>
      <c r="BB39" s="223">
        <f t="shared" si="58"/>
        <v>0</v>
      </c>
      <c r="BC39" s="223">
        <v>0</v>
      </c>
      <c r="BD39" s="223">
        <f t="shared" si="59"/>
        <v>0</v>
      </c>
      <c r="BF39" s="223">
        <f t="shared" si="60"/>
        <v>0</v>
      </c>
      <c r="BG39" s="223">
        <f t="shared" si="61"/>
        <v>0</v>
      </c>
      <c r="BH39" s="223">
        <f t="shared" si="62"/>
        <v>0</v>
      </c>
      <c r="BI39" s="223" t="s">
        <v>336</v>
      </c>
      <c r="BJ39" s="223">
        <v>725</v>
      </c>
    </row>
    <row r="40" spans="1:62" x14ac:dyDescent="0.2">
      <c r="A40" s="221" t="s">
        <v>174</v>
      </c>
      <c r="B40" s="222"/>
      <c r="C40" s="222"/>
      <c r="D40" s="285" t="s">
        <v>367</v>
      </c>
      <c r="E40" s="285"/>
      <c r="F40" s="222" t="s">
        <v>344</v>
      </c>
      <c r="G40" s="223">
        <v>1</v>
      </c>
      <c r="H40" s="223"/>
      <c r="I40" s="223">
        <f t="shared" si="42"/>
        <v>0</v>
      </c>
      <c r="J40" s="223"/>
      <c r="K40" s="223"/>
      <c r="L40" s="224"/>
      <c r="M40" s="198"/>
      <c r="X40" s="223">
        <f t="shared" si="43"/>
        <v>0</v>
      </c>
      <c r="Z40" s="223">
        <f t="shared" si="44"/>
        <v>0</v>
      </c>
      <c r="AA40" s="223">
        <f t="shared" si="45"/>
        <v>0</v>
      </c>
      <c r="AB40" s="223">
        <f t="shared" si="46"/>
        <v>0</v>
      </c>
      <c r="AC40" s="223">
        <f t="shared" si="47"/>
        <v>0</v>
      </c>
      <c r="AD40" s="223">
        <f t="shared" si="48"/>
        <v>0</v>
      </c>
      <c r="AE40" s="223">
        <f t="shared" si="49"/>
        <v>0</v>
      </c>
      <c r="AF40" s="223">
        <f t="shared" si="50"/>
        <v>0</v>
      </c>
      <c r="AG40" s="206"/>
      <c r="AH40" s="223">
        <f t="shared" si="51"/>
        <v>0</v>
      </c>
      <c r="AI40" s="223">
        <f t="shared" si="52"/>
        <v>0</v>
      </c>
      <c r="AJ40" s="223">
        <f t="shared" si="53"/>
        <v>0</v>
      </c>
      <c r="AL40" s="223">
        <v>0</v>
      </c>
      <c r="AM40" s="223">
        <f>H40*0.455934109499268</f>
        <v>0</v>
      </c>
      <c r="AN40" s="223">
        <f>H40*(1-0.455934109499268)</f>
        <v>0</v>
      </c>
      <c r="AO40" s="225" t="s">
        <v>146</v>
      </c>
      <c r="AT40" s="223">
        <f t="shared" si="54"/>
        <v>0</v>
      </c>
      <c r="AU40" s="223">
        <f t="shared" si="55"/>
        <v>0</v>
      </c>
      <c r="AV40" s="223">
        <f t="shared" si="56"/>
        <v>0</v>
      </c>
      <c r="AW40" s="225" t="s">
        <v>361</v>
      </c>
      <c r="AX40" s="225" t="s">
        <v>334</v>
      </c>
      <c r="AY40" s="206" t="s">
        <v>335</v>
      </c>
      <c r="BA40" s="223">
        <f t="shared" si="57"/>
        <v>0</v>
      </c>
      <c r="BB40" s="223">
        <f t="shared" si="58"/>
        <v>0</v>
      </c>
      <c r="BC40" s="223">
        <v>0</v>
      </c>
      <c r="BD40" s="223">
        <f t="shared" si="59"/>
        <v>0</v>
      </c>
      <c r="BF40" s="223">
        <f t="shared" si="60"/>
        <v>0</v>
      </c>
      <c r="BG40" s="223">
        <f t="shared" si="61"/>
        <v>0</v>
      </c>
      <c r="BH40" s="223">
        <f t="shared" si="62"/>
        <v>0</v>
      </c>
      <c r="BI40" s="223" t="s">
        <v>336</v>
      </c>
      <c r="BJ40" s="223">
        <v>725</v>
      </c>
    </row>
    <row r="41" spans="1:62" x14ac:dyDescent="0.2">
      <c r="A41" s="221" t="s">
        <v>368</v>
      </c>
      <c r="B41" s="222"/>
      <c r="C41" s="222"/>
      <c r="D41" s="285" t="s">
        <v>369</v>
      </c>
      <c r="E41" s="285"/>
      <c r="F41" s="222" t="s">
        <v>332</v>
      </c>
      <c r="G41" s="223">
        <v>1</v>
      </c>
      <c r="H41" s="223"/>
      <c r="I41" s="223">
        <f t="shared" si="42"/>
        <v>0</v>
      </c>
      <c r="J41" s="223"/>
      <c r="K41" s="223"/>
      <c r="L41" s="224"/>
      <c r="M41" s="198"/>
      <c r="X41" s="223">
        <f t="shared" si="43"/>
        <v>0</v>
      </c>
      <c r="Z41" s="223">
        <f t="shared" si="44"/>
        <v>0</v>
      </c>
      <c r="AA41" s="223">
        <f t="shared" si="45"/>
        <v>0</v>
      </c>
      <c r="AB41" s="223">
        <f t="shared" si="46"/>
        <v>0</v>
      </c>
      <c r="AC41" s="223">
        <f t="shared" si="47"/>
        <v>0</v>
      </c>
      <c r="AD41" s="223">
        <f t="shared" si="48"/>
        <v>0</v>
      </c>
      <c r="AE41" s="223">
        <f t="shared" si="49"/>
        <v>0</v>
      </c>
      <c r="AF41" s="223">
        <f t="shared" si="50"/>
        <v>0</v>
      </c>
      <c r="AG41" s="206"/>
      <c r="AH41" s="223">
        <f t="shared" si="51"/>
        <v>0</v>
      </c>
      <c r="AI41" s="223">
        <f t="shared" si="52"/>
        <v>0</v>
      </c>
      <c r="AJ41" s="223">
        <f t="shared" si="53"/>
        <v>0</v>
      </c>
      <c r="AL41" s="223">
        <v>0</v>
      </c>
      <c r="AM41" s="223">
        <f>H41*1</f>
        <v>0</v>
      </c>
      <c r="AN41" s="223">
        <f>H41*(1-1)</f>
        <v>0</v>
      </c>
      <c r="AO41" s="225" t="s">
        <v>146</v>
      </c>
      <c r="AT41" s="223">
        <f t="shared" si="54"/>
        <v>0</v>
      </c>
      <c r="AU41" s="223">
        <f t="shared" si="55"/>
        <v>0</v>
      </c>
      <c r="AV41" s="223">
        <f t="shared" si="56"/>
        <v>0</v>
      </c>
      <c r="AW41" s="225" t="s">
        <v>361</v>
      </c>
      <c r="AX41" s="225" t="s">
        <v>334</v>
      </c>
      <c r="AY41" s="206" t="s">
        <v>335</v>
      </c>
      <c r="BA41" s="223">
        <f t="shared" si="57"/>
        <v>0</v>
      </c>
      <c r="BB41" s="223">
        <f t="shared" si="58"/>
        <v>0</v>
      </c>
      <c r="BC41" s="223">
        <v>0</v>
      </c>
      <c r="BD41" s="223">
        <f t="shared" si="59"/>
        <v>0</v>
      </c>
      <c r="BF41" s="223">
        <f t="shared" si="60"/>
        <v>0</v>
      </c>
      <c r="BG41" s="223">
        <f t="shared" si="61"/>
        <v>0</v>
      </c>
      <c r="BH41" s="223">
        <f t="shared" si="62"/>
        <v>0</v>
      </c>
      <c r="BI41" s="223" t="s">
        <v>219</v>
      </c>
      <c r="BJ41" s="223">
        <v>725</v>
      </c>
    </row>
    <row r="42" spans="1:62" x14ac:dyDescent="0.2">
      <c r="A42" s="221" t="s">
        <v>178</v>
      </c>
      <c r="B42" s="222"/>
      <c r="C42" s="222"/>
      <c r="D42" s="285" t="s">
        <v>370</v>
      </c>
      <c r="E42" s="285"/>
      <c r="F42" s="222" t="s">
        <v>344</v>
      </c>
      <c r="G42" s="223">
        <v>1</v>
      </c>
      <c r="H42" s="223"/>
      <c r="I42" s="223">
        <f t="shared" si="42"/>
        <v>0</v>
      </c>
      <c r="J42" s="223"/>
      <c r="K42" s="223"/>
      <c r="L42" s="224"/>
      <c r="M42" s="198"/>
      <c r="X42" s="223">
        <f t="shared" si="43"/>
        <v>0</v>
      </c>
      <c r="Z42" s="223">
        <f t="shared" si="44"/>
        <v>0</v>
      </c>
      <c r="AA42" s="223">
        <f t="shared" si="45"/>
        <v>0</v>
      </c>
      <c r="AB42" s="223">
        <f t="shared" si="46"/>
        <v>0</v>
      </c>
      <c r="AC42" s="223">
        <f t="shared" si="47"/>
        <v>0</v>
      </c>
      <c r="AD42" s="223">
        <f t="shared" si="48"/>
        <v>0</v>
      </c>
      <c r="AE42" s="223">
        <f t="shared" si="49"/>
        <v>0</v>
      </c>
      <c r="AF42" s="223">
        <f t="shared" si="50"/>
        <v>0</v>
      </c>
      <c r="AG42" s="206"/>
      <c r="AH42" s="223">
        <f t="shared" si="51"/>
        <v>0</v>
      </c>
      <c r="AI42" s="223">
        <f t="shared" si="52"/>
        <v>0</v>
      </c>
      <c r="AJ42" s="223">
        <f t="shared" si="53"/>
        <v>0</v>
      </c>
      <c r="AL42" s="223">
        <v>0</v>
      </c>
      <c r="AM42" s="223">
        <f>H42*0.309606685659219</f>
        <v>0</v>
      </c>
      <c r="AN42" s="223">
        <f>H42*(1-0.309606685659219)</f>
        <v>0</v>
      </c>
      <c r="AO42" s="225" t="s">
        <v>146</v>
      </c>
      <c r="AT42" s="223">
        <f t="shared" si="54"/>
        <v>0</v>
      </c>
      <c r="AU42" s="223">
        <f t="shared" si="55"/>
        <v>0</v>
      </c>
      <c r="AV42" s="223">
        <f t="shared" si="56"/>
        <v>0</v>
      </c>
      <c r="AW42" s="225" t="s">
        <v>361</v>
      </c>
      <c r="AX42" s="225" t="s">
        <v>334</v>
      </c>
      <c r="AY42" s="206" t="s">
        <v>335</v>
      </c>
      <c r="BA42" s="223">
        <f t="shared" si="57"/>
        <v>0</v>
      </c>
      <c r="BB42" s="223">
        <f t="shared" si="58"/>
        <v>0</v>
      </c>
      <c r="BC42" s="223">
        <v>0</v>
      </c>
      <c r="BD42" s="223">
        <f t="shared" si="59"/>
        <v>0</v>
      </c>
      <c r="BF42" s="223">
        <f t="shared" si="60"/>
        <v>0</v>
      </c>
      <c r="BG42" s="223">
        <f t="shared" si="61"/>
        <v>0</v>
      </c>
      <c r="BH42" s="223">
        <f t="shared" si="62"/>
        <v>0</v>
      </c>
      <c r="BI42" s="223" t="s">
        <v>336</v>
      </c>
      <c r="BJ42" s="223">
        <v>725</v>
      </c>
    </row>
    <row r="43" spans="1:62" x14ac:dyDescent="0.2">
      <c r="A43" s="221" t="s">
        <v>371</v>
      </c>
      <c r="B43" s="222"/>
      <c r="C43" s="222"/>
      <c r="D43" s="285" t="s">
        <v>372</v>
      </c>
      <c r="E43" s="285"/>
      <c r="F43" s="222" t="s">
        <v>344</v>
      </c>
      <c r="G43" s="223">
        <v>1</v>
      </c>
      <c r="H43" s="223"/>
      <c r="I43" s="223">
        <f t="shared" si="42"/>
        <v>0</v>
      </c>
      <c r="J43" s="223"/>
      <c r="K43" s="223"/>
      <c r="L43" s="224"/>
      <c r="M43" s="198"/>
      <c r="X43" s="223">
        <f t="shared" si="43"/>
        <v>0</v>
      </c>
      <c r="Z43" s="223">
        <f t="shared" si="44"/>
        <v>0</v>
      </c>
      <c r="AA43" s="223">
        <f t="shared" si="45"/>
        <v>0</v>
      </c>
      <c r="AB43" s="223">
        <f t="shared" si="46"/>
        <v>0</v>
      </c>
      <c r="AC43" s="223">
        <f t="shared" si="47"/>
        <v>0</v>
      </c>
      <c r="AD43" s="223">
        <f t="shared" si="48"/>
        <v>0</v>
      </c>
      <c r="AE43" s="223">
        <f t="shared" si="49"/>
        <v>0</v>
      </c>
      <c r="AF43" s="223">
        <f t="shared" si="50"/>
        <v>0</v>
      </c>
      <c r="AG43" s="206"/>
      <c r="AH43" s="223">
        <f t="shared" si="51"/>
        <v>0</v>
      </c>
      <c r="AI43" s="223">
        <f t="shared" si="52"/>
        <v>0</v>
      </c>
      <c r="AJ43" s="223">
        <f t="shared" si="53"/>
        <v>0</v>
      </c>
      <c r="AL43" s="223">
        <v>0</v>
      </c>
      <c r="AM43" s="223">
        <f>H43*0.0492652795838752</f>
        <v>0</v>
      </c>
      <c r="AN43" s="223">
        <f>H43*(1-0.0492652795838752)</f>
        <v>0</v>
      </c>
      <c r="AO43" s="225" t="s">
        <v>146</v>
      </c>
      <c r="AT43" s="223">
        <f t="shared" si="54"/>
        <v>0</v>
      </c>
      <c r="AU43" s="223">
        <f t="shared" si="55"/>
        <v>0</v>
      </c>
      <c r="AV43" s="223">
        <f t="shared" si="56"/>
        <v>0</v>
      </c>
      <c r="AW43" s="225" t="s">
        <v>361</v>
      </c>
      <c r="AX43" s="225" t="s">
        <v>334</v>
      </c>
      <c r="AY43" s="206" t="s">
        <v>335</v>
      </c>
      <c r="BA43" s="223">
        <f t="shared" si="57"/>
        <v>0</v>
      </c>
      <c r="BB43" s="223">
        <f t="shared" si="58"/>
        <v>0</v>
      </c>
      <c r="BC43" s="223">
        <v>0</v>
      </c>
      <c r="BD43" s="223">
        <f t="shared" si="59"/>
        <v>0</v>
      </c>
      <c r="BF43" s="223">
        <f t="shared" si="60"/>
        <v>0</v>
      </c>
      <c r="BG43" s="223">
        <f t="shared" si="61"/>
        <v>0</v>
      </c>
      <c r="BH43" s="223">
        <f t="shared" si="62"/>
        <v>0</v>
      </c>
      <c r="BI43" s="223" t="s">
        <v>336</v>
      </c>
      <c r="BJ43" s="223">
        <v>725</v>
      </c>
    </row>
    <row r="44" spans="1:62" x14ac:dyDescent="0.2">
      <c r="A44" s="221" t="s">
        <v>183</v>
      </c>
      <c r="B44" s="222"/>
      <c r="C44" s="222"/>
      <c r="D44" s="285" t="s">
        <v>373</v>
      </c>
      <c r="E44" s="285"/>
      <c r="F44" s="222" t="s">
        <v>344</v>
      </c>
      <c r="G44" s="223">
        <v>1</v>
      </c>
      <c r="H44" s="223"/>
      <c r="I44" s="223">
        <f t="shared" si="42"/>
        <v>0</v>
      </c>
      <c r="J44" s="223"/>
      <c r="K44" s="223"/>
      <c r="L44" s="224"/>
      <c r="M44" s="198"/>
      <c r="X44" s="223">
        <f t="shared" si="43"/>
        <v>0</v>
      </c>
      <c r="Z44" s="223">
        <f t="shared" si="44"/>
        <v>0</v>
      </c>
      <c r="AA44" s="223">
        <f t="shared" si="45"/>
        <v>0</v>
      </c>
      <c r="AB44" s="223">
        <f t="shared" si="46"/>
        <v>0</v>
      </c>
      <c r="AC44" s="223">
        <f t="shared" si="47"/>
        <v>0</v>
      </c>
      <c r="AD44" s="223">
        <f t="shared" si="48"/>
        <v>0</v>
      </c>
      <c r="AE44" s="223">
        <f t="shared" si="49"/>
        <v>0</v>
      </c>
      <c r="AF44" s="223">
        <f t="shared" si="50"/>
        <v>0</v>
      </c>
      <c r="AG44" s="206"/>
      <c r="AH44" s="223">
        <f t="shared" si="51"/>
        <v>0</v>
      </c>
      <c r="AI44" s="223">
        <f t="shared" si="52"/>
        <v>0</v>
      </c>
      <c r="AJ44" s="223">
        <f t="shared" si="53"/>
        <v>0</v>
      </c>
      <c r="AL44" s="223">
        <v>0</v>
      </c>
      <c r="AM44" s="223">
        <f>H44*0.116122047473254</f>
        <v>0</v>
      </c>
      <c r="AN44" s="223">
        <f>H44*(1-0.116122047473254)</f>
        <v>0</v>
      </c>
      <c r="AO44" s="225" t="s">
        <v>146</v>
      </c>
      <c r="AT44" s="223">
        <f t="shared" si="54"/>
        <v>0</v>
      </c>
      <c r="AU44" s="223">
        <f t="shared" si="55"/>
        <v>0</v>
      </c>
      <c r="AV44" s="223">
        <f t="shared" si="56"/>
        <v>0</v>
      </c>
      <c r="AW44" s="225" t="s">
        <v>361</v>
      </c>
      <c r="AX44" s="225" t="s">
        <v>334</v>
      </c>
      <c r="AY44" s="206" t="s">
        <v>335</v>
      </c>
      <c r="BA44" s="223">
        <f t="shared" si="57"/>
        <v>0</v>
      </c>
      <c r="BB44" s="223">
        <f t="shared" si="58"/>
        <v>0</v>
      </c>
      <c r="BC44" s="223">
        <v>0</v>
      </c>
      <c r="BD44" s="223">
        <f t="shared" si="59"/>
        <v>0</v>
      </c>
      <c r="BF44" s="223">
        <f t="shared" si="60"/>
        <v>0</v>
      </c>
      <c r="BG44" s="223">
        <f t="shared" si="61"/>
        <v>0</v>
      </c>
      <c r="BH44" s="223">
        <f t="shared" si="62"/>
        <v>0</v>
      </c>
      <c r="BI44" s="223" t="s">
        <v>336</v>
      </c>
      <c r="BJ44" s="223">
        <v>725</v>
      </c>
    </row>
    <row r="45" spans="1:62" x14ac:dyDescent="0.2">
      <c r="A45" s="221" t="s">
        <v>374</v>
      </c>
      <c r="B45" s="222"/>
      <c r="C45" s="222"/>
      <c r="D45" s="285" t="s">
        <v>375</v>
      </c>
      <c r="E45" s="285"/>
      <c r="F45" s="222" t="s">
        <v>344</v>
      </c>
      <c r="G45" s="223">
        <v>5</v>
      </c>
      <c r="H45" s="223"/>
      <c r="I45" s="223">
        <f t="shared" si="42"/>
        <v>0</v>
      </c>
      <c r="J45" s="223"/>
      <c r="K45" s="223"/>
      <c r="L45" s="224"/>
      <c r="M45" s="198"/>
      <c r="X45" s="223">
        <f t="shared" si="43"/>
        <v>0</v>
      </c>
      <c r="Z45" s="223">
        <f t="shared" si="44"/>
        <v>0</v>
      </c>
      <c r="AA45" s="223">
        <f t="shared" si="45"/>
        <v>0</v>
      </c>
      <c r="AB45" s="223">
        <f t="shared" si="46"/>
        <v>0</v>
      </c>
      <c r="AC45" s="223">
        <f t="shared" si="47"/>
        <v>0</v>
      </c>
      <c r="AD45" s="223">
        <f t="shared" si="48"/>
        <v>0</v>
      </c>
      <c r="AE45" s="223">
        <f t="shared" si="49"/>
        <v>0</v>
      </c>
      <c r="AF45" s="223">
        <f t="shared" si="50"/>
        <v>0</v>
      </c>
      <c r="AG45" s="206"/>
      <c r="AH45" s="223">
        <f t="shared" si="51"/>
        <v>0</v>
      </c>
      <c r="AI45" s="223">
        <f t="shared" si="52"/>
        <v>0</v>
      </c>
      <c r="AJ45" s="223">
        <f t="shared" si="53"/>
        <v>0</v>
      </c>
      <c r="AL45" s="223">
        <v>0</v>
      </c>
      <c r="AM45" s="223">
        <f>H45*0.823196605374823</f>
        <v>0</v>
      </c>
      <c r="AN45" s="223">
        <f>H45*(1-0.823196605374823)</f>
        <v>0</v>
      </c>
      <c r="AO45" s="225" t="s">
        <v>146</v>
      </c>
      <c r="AT45" s="223">
        <f t="shared" si="54"/>
        <v>0</v>
      </c>
      <c r="AU45" s="223">
        <f t="shared" si="55"/>
        <v>0</v>
      </c>
      <c r="AV45" s="223">
        <f t="shared" si="56"/>
        <v>0</v>
      </c>
      <c r="AW45" s="225" t="s">
        <v>361</v>
      </c>
      <c r="AX45" s="225" t="s">
        <v>334</v>
      </c>
      <c r="AY45" s="206" t="s">
        <v>335</v>
      </c>
      <c r="BA45" s="223">
        <f t="shared" si="57"/>
        <v>0</v>
      </c>
      <c r="BB45" s="223">
        <f t="shared" si="58"/>
        <v>0</v>
      </c>
      <c r="BC45" s="223">
        <v>0</v>
      </c>
      <c r="BD45" s="223">
        <f t="shared" si="59"/>
        <v>0</v>
      </c>
      <c r="BF45" s="223">
        <f t="shared" si="60"/>
        <v>0</v>
      </c>
      <c r="BG45" s="223">
        <f t="shared" si="61"/>
        <v>0</v>
      </c>
      <c r="BH45" s="223">
        <f t="shared" si="62"/>
        <v>0</v>
      </c>
      <c r="BI45" s="223" t="s">
        <v>336</v>
      </c>
      <c r="BJ45" s="223">
        <v>725</v>
      </c>
    </row>
    <row r="46" spans="1:62" x14ac:dyDescent="0.2">
      <c r="A46" s="221" t="s">
        <v>188</v>
      </c>
      <c r="B46" s="222"/>
      <c r="C46" s="222"/>
      <c r="D46" s="285" t="s">
        <v>376</v>
      </c>
      <c r="E46" s="285"/>
      <c r="F46" s="222" t="s">
        <v>344</v>
      </c>
      <c r="G46" s="223">
        <v>1</v>
      </c>
      <c r="H46" s="223"/>
      <c r="I46" s="223">
        <f t="shared" si="42"/>
        <v>0</v>
      </c>
      <c r="J46" s="223"/>
      <c r="K46" s="223"/>
      <c r="L46" s="224"/>
      <c r="M46" s="198"/>
      <c r="X46" s="223">
        <f t="shared" si="43"/>
        <v>0</v>
      </c>
      <c r="Z46" s="223">
        <f t="shared" si="44"/>
        <v>0</v>
      </c>
      <c r="AA46" s="223">
        <f t="shared" si="45"/>
        <v>0</v>
      </c>
      <c r="AB46" s="223">
        <f t="shared" si="46"/>
        <v>0</v>
      </c>
      <c r="AC46" s="223">
        <f t="shared" si="47"/>
        <v>0</v>
      </c>
      <c r="AD46" s="223">
        <f t="shared" si="48"/>
        <v>0</v>
      </c>
      <c r="AE46" s="223">
        <f t="shared" si="49"/>
        <v>0</v>
      </c>
      <c r="AF46" s="223">
        <f t="shared" si="50"/>
        <v>0</v>
      </c>
      <c r="AG46" s="206"/>
      <c r="AH46" s="223">
        <f t="shared" si="51"/>
        <v>0</v>
      </c>
      <c r="AI46" s="223">
        <f t="shared" si="52"/>
        <v>0</v>
      </c>
      <c r="AJ46" s="223">
        <f t="shared" si="53"/>
        <v>0</v>
      </c>
      <c r="AL46" s="223">
        <v>0</v>
      </c>
      <c r="AM46" s="223">
        <f>H46*0.896864686468647</f>
        <v>0</v>
      </c>
      <c r="AN46" s="223">
        <f>H46*(1-0.896864686468647)</f>
        <v>0</v>
      </c>
      <c r="AO46" s="225" t="s">
        <v>146</v>
      </c>
      <c r="AT46" s="223">
        <f t="shared" si="54"/>
        <v>0</v>
      </c>
      <c r="AU46" s="223">
        <f t="shared" si="55"/>
        <v>0</v>
      </c>
      <c r="AV46" s="223">
        <f t="shared" si="56"/>
        <v>0</v>
      </c>
      <c r="AW46" s="225" t="s">
        <v>361</v>
      </c>
      <c r="AX46" s="225" t="s">
        <v>334</v>
      </c>
      <c r="AY46" s="206" t="s">
        <v>335</v>
      </c>
      <c r="BA46" s="223">
        <f t="shared" si="57"/>
        <v>0</v>
      </c>
      <c r="BB46" s="223">
        <f t="shared" si="58"/>
        <v>0</v>
      </c>
      <c r="BC46" s="223">
        <v>0</v>
      </c>
      <c r="BD46" s="223">
        <f t="shared" si="59"/>
        <v>0</v>
      </c>
      <c r="BF46" s="223">
        <f t="shared" si="60"/>
        <v>0</v>
      </c>
      <c r="BG46" s="223">
        <f t="shared" si="61"/>
        <v>0</v>
      </c>
      <c r="BH46" s="223">
        <f t="shared" si="62"/>
        <v>0</v>
      </c>
      <c r="BI46" s="223" t="s">
        <v>336</v>
      </c>
      <c r="BJ46" s="223">
        <v>725</v>
      </c>
    </row>
    <row r="47" spans="1:62" ht="27.6" customHeight="1" x14ac:dyDescent="0.2">
      <c r="A47" s="221" t="s">
        <v>195</v>
      </c>
      <c r="B47" s="222"/>
      <c r="C47" s="222"/>
      <c r="D47" s="289" t="s">
        <v>377</v>
      </c>
      <c r="E47" s="285"/>
      <c r="F47" s="222" t="s">
        <v>332</v>
      </c>
      <c r="G47" s="223">
        <v>1</v>
      </c>
      <c r="H47" s="223"/>
      <c r="I47" s="223">
        <f t="shared" si="42"/>
        <v>0</v>
      </c>
      <c r="J47" s="223"/>
      <c r="K47" s="223"/>
      <c r="L47" s="224"/>
      <c r="M47" s="198"/>
      <c r="X47" s="223">
        <f t="shared" si="43"/>
        <v>0</v>
      </c>
      <c r="Z47" s="223">
        <f t="shared" si="44"/>
        <v>0</v>
      </c>
      <c r="AA47" s="223">
        <f t="shared" si="45"/>
        <v>0</v>
      </c>
      <c r="AB47" s="223">
        <f t="shared" si="46"/>
        <v>0</v>
      </c>
      <c r="AC47" s="223">
        <f t="shared" si="47"/>
        <v>0</v>
      </c>
      <c r="AD47" s="223">
        <f t="shared" si="48"/>
        <v>0</v>
      </c>
      <c r="AE47" s="223">
        <f t="shared" si="49"/>
        <v>0</v>
      </c>
      <c r="AF47" s="223">
        <f t="shared" si="50"/>
        <v>0</v>
      </c>
      <c r="AG47" s="206"/>
      <c r="AH47" s="223">
        <f t="shared" si="51"/>
        <v>0</v>
      </c>
      <c r="AI47" s="223">
        <f t="shared" si="52"/>
        <v>0</v>
      </c>
      <c r="AJ47" s="223">
        <f t="shared" si="53"/>
        <v>0</v>
      </c>
      <c r="AL47" s="223">
        <v>0</v>
      </c>
      <c r="AM47" s="223">
        <f>H47*0.896617773286371</f>
        <v>0</v>
      </c>
      <c r="AN47" s="223">
        <f>H47*(1-0.896617773286371)</f>
        <v>0</v>
      </c>
      <c r="AO47" s="225" t="s">
        <v>146</v>
      </c>
      <c r="AT47" s="223">
        <f t="shared" si="54"/>
        <v>0</v>
      </c>
      <c r="AU47" s="223">
        <f t="shared" si="55"/>
        <v>0</v>
      </c>
      <c r="AV47" s="223">
        <f t="shared" si="56"/>
        <v>0</v>
      </c>
      <c r="AW47" s="225" t="s">
        <v>361</v>
      </c>
      <c r="AX47" s="225" t="s">
        <v>334</v>
      </c>
      <c r="AY47" s="206" t="s">
        <v>335</v>
      </c>
      <c r="BA47" s="223">
        <f t="shared" si="57"/>
        <v>0</v>
      </c>
      <c r="BB47" s="223">
        <f t="shared" si="58"/>
        <v>0</v>
      </c>
      <c r="BC47" s="223">
        <v>0</v>
      </c>
      <c r="BD47" s="223">
        <f t="shared" si="59"/>
        <v>0</v>
      </c>
      <c r="BF47" s="223">
        <f t="shared" si="60"/>
        <v>0</v>
      </c>
      <c r="BG47" s="223">
        <f t="shared" si="61"/>
        <v>0</v>
      </c>
      <c r="BH47" s="223">
        <f t="shared" si="62"/>
        <v>0</v>
      </c>
      <c r="BI47" s="223" t="s">
        <v>336</v>
      </c>
      <c r="BJ47" s="223">
        <v>725</v>
      </c>
    </row>
    <row r="48" spans="1:62" ht="25.15" customHeight="1" x14ac:dyDescent="0.2">
      <c r="A48" s="221" t="s">
        <v>378</v>
      </c>
      <c r="B48" s="222"/>
      <c r="C48" s="222"/>
      <c r="D48" s="289" t="s">
        <v>379</v>
      </c>
      <c r="E48" s="285"/>
      <c r="F48" s="222" t="s">
        <v>332</v>
      </c>
      <c r="G48" s="223">
        <v>1</v>
      </c>
      <c r="H48" s="223"/>
      <c r="I48" s="223">
        <f t="shared" si="42"/>
        <v>0</v>
      </c>
      <c r="J48" s="223"/>
      <c r="K48" s="223"/>
      <c r="L48" s="224"/>
      <c r="M48" s="198"/>
      <c r="X48" s="223">
        <f t="shared" si="43"/>
        <v>0</v>
      </c>
      <c r="Z48" s="223">
        <f t="shared" si="44"/>
        <v>0</v>
      </c>
      <c r="AA48" s="223">
        <f t="shared" si="45"/>
        <v>0</v>
      </c>
      <c r="AB48" s="223">
        <f t="shared" si="46"/>
        <v>0</v>
      </c>
      <c r="AC48" s="223">
        <f t="shared" si="47"/>
        <v>0</v>
      </c>
      <c r="AD48" s="223">
        <f t="shared" si="48"/>
        <v>0</v>
      </c>
      <c r="AE48" s="223">
        <f t="shared" si="49"/>
        <v>0</v>
      </c>
      <c r="AF48" s="223">
        <f t="shared" si="50"/>
        <v>0</v>
      </c>
      <c r="AG48" s="206"/>
      <c r="AH48" s="223">
        <f t="shared" si="51"/>
        <v>0</v>
      </c>
      <c r="AI48" s="223">
        <f t="shared" si="52"/>
        <v>0</v>
      </c>
      <c r="AJ48" s="223">
        <f t="shared" si="53"/>
        <v>0</v>
      </c>
      <c r="AL48" s="223">
        <v>0</v>
      </c>
      <c r="AM48" s="223">
        <f>H48*0.856353671619765</f>
        <v>0</v>
      </c>
      <c r="AN48" s="223">
        <f>H48*(1-0.856353671619765)</f>
        <v>0</v>
      </c>
      <c r="AO48" s="225" t="s">
        <v>146</v>
      </c>
      <c r="AT48" s="223">
        <f t="shared" si="54"/>
        <v>0</v>
      </c>
      <c r="AU48" s="223">
        <f t="shared" si="55"/>
        <v>0</v>
      </c>
      <c r="AV48" s="223">
        <f t="shared" si="56"/>
        <v>0</v>
      </c>
      <c r="AW48" s="225" t="s">
        <v>361</v>
      </c>
      <c r="AX48" s="225" t="s">
        <v>334</v>
      </c>
      <c r="AY48" s="206" t="s">
        <v>335</v>
      </c>
      <c r="BA48" s="223">
        <f t="shared" si="57"/>
        <v>0</v>
      </c>
      <c r="BB48" s="223">
        <f t="shared" si="58"/>
        <v>0</v>
      </c>
      <c r="BC48" s="223">
        <v>0</v>
      </c>
      <c r="BD48" s="223">
        <f t="shared" si="59"/>
        <v>0</v>
      </c>
      <c r="BF48" s="223">
        <f t="shared" si="60"/>
        <v>0</v>
      </c>
      <c r="BG48" s="223">
        <f t="shared" si="61"/>
        <v>0</v>
      </c>
      <c r="BH48" s="223">
        <f t="shared" si="62"/>
        <v>0</v>
      </c>
      <c r="BI48" s="223" t="s">
        <v>336</v>
      </c>
      <c r="BJ48" s="223">
        <v>725</v>
      </c>
    </row>
    <row r="49" spans="1:62" x14ac:dyDescent="0.2">
      <c r="A49" s="221" t="s">
        <v>197</v>
      </c>
      <c r="B49" s="222"/>
      <c r="C49" s="222"/>
      <c r="D49" s="285" t="s">
        <v>380</v>
      </c>
      <c r="E49" s="285"/>
      <c r="F49" s="222" t="s">
        <v>332</v>
      </c>
      <c r="G49" s="223">
        <v>1</v>
      </c>
      <c r="H49" s="223"/>
      <c r="I49" s="223">
        <f t="shared" si="42"/>
        <v>0</v>
      </c>
      <c r="J49" s="223"/>
      <c r="K49" s="223"/>
      <c r="L49" s="224"/>
      <c r="M49" s="198"/>
      <c r="X49" s="223">
        <f t="shared" si="43"/>
        <v>0</v>
      </c>
      <c r="Z49" s="223">
        <f t="shared" si="44"/>
        <v>0</v>
      </c>
      <c r="AA49" s="223">
        <f t="shared" si="45"/>
        <v>0</v>
      </c>
      <c r="AB49" s="223">
        <f t="shared" si="46"/>
        <v>0</v>
      </c>
      <c r="AC49" s="223">
        <f t="shared" si="47"/>
        <v>0</v>
      </c>
      <c r="AD49" s="223">
        <f t="shared" si="48"/>
        <v>0</v>
      </c>
      <c r="AE49" s="223">
        <f t="shared" si="49"/>
        <v>0</v>
      </c>
      <c r="AF49" s="223">
        <f t="shared" si="50"/>
        <v>0</v>
      </c>
      <c r="AG49" s="206"/>
      <c r="AH49" s="223">
        <f t="shared" si="51"/>
        <v>0</v>
      </c>
      <c r="AI49" s="223">
        <f t="shared" si="52"/>
        <v>0</v>
      </c>
      <c r="AJ49" s="223">
        <f t="shared" si="53"/>
        <v>0</v>
      </c>
      <c r="AL49" s="223">
        <v>0</v>
      </c>
      <c r="AM49" s="223">
        <f>H49*0.0307127429805616</f>
        <v>0</v>
      </c>
      <c r="AN49" s="223">
        <f>H49*(1-0.0307127429805616)</f>
        <v>0</v>
      </c>
      <c r="AO49" s="225" t="s">
        <v>146</v>
      </c>
      <c r="AT49" s="223">
        <f t="shared" si="54"/>
        <v>0</v>
      </c>
      <c r="AU49" s="223">
        <f t="shared" si="55"/>
        <v>0</v>
      </c>
      <c r="AV49" s="223">
        <f t="shared" si="56"/>
        <v>0</v>
      </c>
      <c r="AW49" s="225" t="s">
        <v>361</v>
      </c>
      <c r="AX49" s="225" t="s">
        <v>334</v>
      </c>
      <c r="AY49" s="206" t="s">
        <v>335</v>
      </c>
      <c r="BA49" s="223">
        <f t="shared" si="57"/>
        <v>0</v>
      </c>
      <c r="BB49" s="223">
        <f t="shared" si="58"/>
        <v>0</v>
      </c>
      <c r="BC49" s="223">
        <v>0</v>
      </c>
      <c r="BD49" s="223">
        <f t="shared" si="59"/>
        <v>0</v>
      </c>
      <c r="BF49" s="223">
        <f t="shared" si="60"/>
        <v>0</v>
      </c>
      <c r="BG49" s="223">
        <f t="shared" si="61"/>
        <v>0</v>
      </c>
      <c r="BH49" s="223">
        <f t="shared" si="62"/>
        <v>0</v>
      </c>
      <c r="BI49" s="223" t="s">
        <v>336</v>
      </c>
      <c r="BJ49" s="223">
        <v>725</v>
      </c>
    </row>
    <row r="50" spans="1:62" x14ac:dyDescent="0.2">
      <c r="A50" s="221"/>
      <c r="B50" s="222"/>
      <c r="C50" s="222"/>
      <c r="D50" s="222" t="s">
        <v>381</v>
      </c>
      <c r="E50" s="222"/>
      <c r="F50" s="222" t="s">
        <v>344</v>
      </c>
      <c r="G50" s="223">
        <v>1</v>
      </c>
      <c r="H50" s="223"/>
      <c r="I50" s="223">
        <f t="shared" si="42"/>
        <v>0</v>
      </c>
      <c r="J50" s="223"/>
      <c r="K50" s="223"/>
      <c r="L50" s="224"/>
      <c r="M50" s="198"/>
      <c r="X50" s="223"/>
      <c r="Z50" s="223"/>
      <c r="AA50" s="223"/>
      <c r="AB50" s="223"/>
      <c r="AC50" s="223"/>
      <c r="AD50" s="223"/>
      <c r="AE50" s="223"/>
      <c r="AF50" s="223"/>
      <c r="AG50" s="206"/>
      <c r="AH50" s="223"/>
      <c r="AI50" s="223"/>
      <c r="AJ50" s="223"/>
      <c r="AL50" s="223"/>
      <c r="AM50" s="223"/>
      <c r="AN50" s="223"/>
      <c r="AO50" s="225"/>
      <c r="AT50" s="223"/>
      <c r="AU50" s="223"/>
      <c r="AV50" s="223"/>
      <c r="AW50" s="225"/>
      <c r="AX50" s="225"/>
      <c r="AY50" s="206"/>
      <c r="BA50" s="223"/>
      <c r="BB50" s="223"/>
      <c r="BC50" s="223"/>
      <c r="BD50" s="223"/>
      <c r="BF50" s="223"/>
      <c r="BG50" s="223"/>
      <c r="BH50" s="223">
        <f t="shared" si="62"/>
        <v>0</v>
      </c>
      <c r="BI50" s="223"/>
      <c r="BJ50" s="223"/>
    </row>
    <row r="51" spans="1:62" x14ac:dyDescent="0.2">
      <c r="A51" s="221" t="s">
        <v>382</v>
      </c>
      <c r="B51" s="222"/>
      <c r="C51" s="222"/>
      <c r="D51" s="285" t="s">
        <v>383</v>
      </c>
      <c r="E51" s="285"/>
      <c r="F51" s="222" t="s">
        <v>332</v>
      </c>
      <c r="G51" s="223">
        <v>1</v>
      </c>
      <c r="H51" s="223"/>
      <c r="I51" s="223">
        <f t="shared" si="42"/>
        <v>0</v>
      </c>
      <c r="J51" s="223"/>
      <c r="K51" s="223"/>
      <c r="L51" s="224"/>
      <c r="M51" s="198"/>
      <c r="X51" s="223">
        <f t="shared" si="43"/>
        <v>0</v>
      </c>
      <c r="Z51" s="223">
        <f t="shared" si="44"/>
        <v>0</v>
      </c>
      <c r="AA51" s="223">
        <f t="shared" si="45"/>
        <v>0</v>
      </c>
      <c r="AB51" s="223">
        <f t="shared" si="46"/>
        <v>0</v>
      </c>
      <c r="AC51" s="223">
        <f t="shared" si="47"/>
        <v>0</v>
      </c>
      <c r="AD51" s="223">
        <f t="shared" si="48"/>
        <v>0</v>
      </c>
      <c r="AE51" s="223">
        <f t="shared" si="49"/>
        <v>0</v>
      </c>
      <c r="AF51" s="223">
        <f t="shared" si="50"/>
        <v>0</v>
      </c>
      <c r="AG51" s="206"/>
      <c r="AH51" s="223">
        <f t="shared" si="51"/>
        <v>0</v>
      </c>
      <c r="AI51" s="223">
        <f t="shared" si="52"/>
        <v>0</v>
      </c>
      <c r="AJ51" s="223">
        <f t="shared" si="53"/>
        <v>0</v>
      </c>
      <c r="AL51" s="223">
        <v>0</v>
      </c>
      <c r="AM51" s="223">
        <f>H51*0.201448942629015</f>
        <v>0</v>
      </c>
      <c r="AN51" s="223">
        <f>H51*(1-0.201448942629015)</f>
        <v>0</v>
      </c>
      <c r="AO51" s="225" t="s">
        <v>146</v>
      </c>
      <c r="AT51" s="223">
        <f t="shared" si="54"/>
        <v>0</v>
      </c>
      <c r="AU51" s="223">
        <f t="shared" si="55"/>
        <v>0</v>
      </c>
      <c r="AV51" s="223">
        <f t="shared" si="56"/>
        <v>0</v>
      </c>
      <c r="AW51" s="225" t="s">
        <v>361</v>
      </c>
      <c r="AX51" s="225" t="s">
        <v>334</v>
      </c>
      <c r="AY51" s="206" t="s">
        <v>335</v>
      </c>
      <c r="BA51" s="223">
        <f t="shared" si="57"/>
        <v>0</v>
      </c>
      <c r="BB51" s="223">
        <f t="shared" si="58"/>
        <v>0</v>
      </c>
      <c r="BC51" s="223">
        <v>0</v>
      </c>
      <c r="BD51" s="223">
        <f t="shared" si="59"/>
        <v>0</v>
      </c>
      <c r="BF51" s="223">
        <f t="shared" si="60"/>
        <v>0</v>
      </c>
      <c r="BG51" s="223">
        <f t="shared" si="61"/>
        <v>0</v>
      </c>
      <c r="BH51" s="223">
        <f t="shared" si="62"/>
        <v>0</v>
      </c>
      <c r="BI51" s="223" t="s">
        <v>336</v>
      </c>
      <c r="BJ51" s="223">
        <v>725</v>
      </c>
    </row>
    <row r="52" spans="1:62" x14ac:dyDescent="0.2">
      <c r="A52" s="221" t="s">
        <v>203</v>
      </c>
      <c r="B52" s="222"/>
      <c r="C52" s="222"/>
      <c r="D52" s="285" t="s">
        <v>384</v>
      </c>
      <c r="E52" s="285"/>
      <c r="F52" s="222" t="s">
        <v>332</v>
      </c>
      <c r="G52" s="223">
        <v>1</v>
      </c>
      <c r="H52" s="223"/>
      <c r="I52" s="223">
        <f t="shared" si="42"/>
        <v>0</v>
      </c>
      <c r="J52" s="223"/>
      <c r="K52" s="223"/>
      <c r="L52" s="224"/>
      <c r="M52" s="198"/>
      <c r="X52" s="223">
        <f t="shared" si="43"/>
        <v>0</v>
      </c>
      <c r="Z52" s="223">
        <f t="shared" si="44"/>
        <v>0</v>
      </c>
      <c r="AA52" s="223">
        <f t="shared" si="45"/>
        <v>0</v>
      </c>
      <c r="AB52" s="223">
        <f t="shared" si="46"/>
        <v>0</v>
      </c>
      <c r="AC52" s="223">
        <f t="shared" si="47"/>
        <v>0</v>
      </c>
      <c r="AD52" s="223">
        <f t="shared" si="48"/>
        <v>0</v>
      </c>
      <c r="AE52" s="223">
        <f t="shared" si="49"/>
        <v>0</v>
      </c>
      <c r="AF52" s="223">
        <f t="shared" si="50"/>
        <v>0</v>
      </c>
      <c r="AG52" s="206"/>
      <c r="AH52" s="223">
        <f t="shared" si="51"/>
        <v>0</v>
      </c>
      <c r="AI52" s="223">
        <f t="shared" si="52"/>
        <v>0</v>
      </c>
      <c r="AJ52" s="223">
        <f t="shared" si="53"/>
        <v>0</v>
      </c>
      <c r="AL52" s="223">
        <v>0</v>
      </c>
      <c r="AM52" s="223">
        <f>H52*0.487561983471074</f>
        <v>0</v>
      </c>
      <c r="AN52" s="223">
        <f>H52*(1-0.487561983471074)</f>
        <v>0</v>
      </c>
      <c r="AO52" s="225" t="s">
        <v>146</v>
      </c>
      <c r="AT52" s="223">
        <f t="shared" si="54"/>
        <v>0</v>
      </c>
      <c r="AU52" s="223">
        <f t="shared" si="55"/>
        <v>0</v>
      </c>
      <c r="AV52" s="223">
        <f t="shared" si="56"/>
        <v>0</v>
      </c>
      <c r="AW52" s="225" t="s">
        <v>361</v>
      </c>
      <c r="AX52" s="225" t="s">
        <v>334</v>
      </c>
      <c r="AY52" s="206" t="s">
        <v>335</v>
      </c>
      <c r="BA52" s="223">
        <f t="shared" si="57"/>
        <v>0</v>
      </c>
      <c r="BB52" s="223">
        <f t="shared" si="58"/>
        <v>0</v>
      </c>
      <c r="BC52" s="223">
        <v>0</v>
      </c>
      <c r="BD52" s="223">
        <f t="shared" si="59"/>
        <v>0</v>
      </c>
      <c r="BF52" s="223">
        <f t="shared" si="60"/>
        <v>0</v>
      </c>
      <c r="BG52" s="223">
        <f t="shared" si="61"/>
        <v>0</v>
      </c>
      <c r="BH52" s="223">
        <f t="shared" si="62"/>
        <v>0</v>
      </c>
      <c r="BI52" s="223" t="s">
        <v>336</v>
      </c>
      <c r="BJ52" s="223">
        <v>725</v>
      </c>
    </row>
    <row r="53" spans="1:62" x14ac:dyDescent="0.2">
      <c r="A53" s="221" t="s">
        <v>385</v>
      </c>
      <c r="B53" s="222"/>
      <c r="C53" s="222"/>
      <c r="D53" s="285" t="s">
        <v>386</v>
      </c>
      <c r="E53" s="285"/>
      <c r="F53" s="222" t="s">
        <v>332</v>
      </c>
      <c r="G53" s="223">
        <v>1</v>
      </c>
      <c r="H53" s="223"/>
      <c r="I53" s="223">
        <f t="shared" si="42"/>
        <v>0</v>
      </c>
      <c r="J53" s="223"/>
      <c r="K53" s="223"/>
      <c r="L53" s="224"/>
      <c r="M53" s="198"/>
      <c r="X53" s="223">
        <f t="shared" si="43"/>
        <v>0</v>
      </c>
      <c r="Z53" s="223">
        <f t="shared" si="44"/>
        <v>0</v>
      </c>
      <c r="AA53" s="223">
        <f t="shared" si="45"/>
        <v>0</v>
      </c>
      <c r="AB53" s="223">
        <f t="shared" si="46"/>
        <v>0</v>
      </c>
      <c r="AC53" s="223">
        <f t="shared" si="47"/>
        <v>0</v>
      </c>
      <c r="AD53" s="223">
        <f t="shared" si="48"/>
        <v>0</v>
      </c>
      <c r="AE53" s="223">
        <f t="shared" si="49"/>
        <v>0</v>
      </c>
      <c r="AF53" s="223">
        <f t="shared" si="50"/>
        <v>0</v>
      </c>
      <c r="AG53" s="206"/>
      <c r="AH53" s="223">
        <f t="shared" si="51"/>
        <v>0</v>
      </c>
      <c r="AI53" s="223">
        <f t="shared" si="52"/>
        <v>0</v>
      </c>
      <c r="AJ53" s="223">
        <f t="shared" si="53"/>
        <v>0</v>
      </c>
      <c r="AL53" s="223">
        <v>0</v>
      </c>
      <c r="AM53" s="223">
        <f>H53*0.759203883495146</f>
        <v>0</v>
      </c>
      <c r="AN53" s="223">
        <f>H53*(1-0.759203883495146)</f>
        <v>0</v>
      </c>
      <c r="AO53" s="225" t="s">
        <v>146</v>
      </c>
      <c r="AT53" s="223">
        <f t="shared" si="54"/>
        <v>0</v>
      </c>
      <c r="AU53" s="223">
        <f t="shared" si="55"/>
        <v>0</v>
      </c>
      <c r="AV53" s="223">
        <f t="shared" si="56"/>
        <v>0</v>
      </c>
      <c r="AW53" s="225" t="s">
        <v>361</v>
      </c>
      <c r="AX53" s="225" t="s">
        <v>334</v>
      </c>
      <c r="AY53" s="206" t="s">
        <v>335</v>
      </c>
      <c r="BA53" s="223">
        <f t="shared" si="57"/>
        <v>0</v>
      </c>
      <c r="BB53" s="223">
        <f t="shared" si="58"/>
        <v>0</v>
      </c>
      <c r="BC53" s="223">
        <v>0</v>
      </c>
      <c r="BD53" s="223">
        <f t="shared" si="59"/>
        <v>0</v>
      </c>
      <c r="BF53" s="223">
        <f t="shared" si="60"/>
        <v>0</v>
      </c>
      <c r="BG53" s="223">
        <f t="shared" si="61"/>
        <v>0</v>
      </c>
      <c r="BH53" s="223">
        <f t="shared" si="62"/>
        <v>0</v>
      </c>
      <c r="BI53" s="223" t="s">
        <v>336</v>
      </c>
      <c r="BJ53" s="223">
        <v>725</v>
      </c>
    </row>
    <row r="54" spans="1:62" x14ac:dyDescent="0.2">
      <c r="A54" s="221" t="s">
        <v>387</v>
      </c>
      <c r="B54" s="222"/>
      <c r="C54" s="222"/>
      <c r="D54" s="285" t="s">
        <v>388</v>
      </c>
      <c r="E54" s="285"/>
      <c r="F54" s="222" t="s">
        <v>332</v>
      </c>
      <c r="G54" s="223">
        <v>2</v>
      </c>
      <c r="H54" s="223"/>
      <c r="I54" s="223">
        <f t="shared" si="42"/>
        <v>0</v>
      </c>
      <c r="J54" s="223"/>
      <c r="K54" s="223"/>
      <c r="L54" s="224"/>
      <c r="M54" s="198"/>
      <c r="X54" s="223">
        <f t="shared" si="43"/>
        <v>0</v>
      </c>
      <c r="Z54" s="223">
        <f t="shared" si="44"/>
        <v>0</v>
      </c>
      <c r="AA54" s="223">
        <f t="shared" si="45"/>
        <v>0</v>
      </c>
      <c r="AB54" s="223">
        <f t="shared" si="46"/>
        <v>0</v>
      </c>
      <c r="AC54" s="223">
        <f t="shared" si="47"/>
        <v>0</v>
      </c>
      <c r="AD54" s="223">
        <f t="shared" si="48"/>
        <v>0</v>
      </c>
      <c r="AE54" s="223">
        <f t="shared" si="49"/>
        <v>0</v>
      </c>
      <c r="AF54" s="223">
        <f t="shared" si="50"/>
        <v>0</v>
      </c>
      <c r="AG54" s="206"/>
      <c r="AH54" s="223">
        <f t="shared" si="51"/>
        <v>0</v>
      </c>
      <c r="AI54" s="223">
        <f t="shared" si="52"/>
        <v>0</v>
      </c>
      <c r="AJ54" s="223">
        <f t="shared" si="53"/>
        <v>0</v>
      </c>
      <c r="AL54" s="223">
        <v>0</v>
      </c>
      <c r="AM54" s="223">
        <f>H54*0.235925925925926</f>
        <v>0</v>
      </c>
      <c r="AN54" s="223">
        <f>H54*(1-0.235925925925926)</f>
        <v>0</v>
      </c>
      <c r="AO54" s="225" t="s">
        <v>146</v>
      </c>
      <c r="AT54" s="223">
        <f t="shared" si="54"/>
        <v>0</v>
      </c>
      <c r="AU54" s="223">
        <f t="shared" si="55"/>
        <v>0</v>
      </c>
      <c r="AV54" s="223">
        <f t="shared" si="56"/>
        <v>0</v>
      </c>
      <c r="AW54" s="225" t="s">
        <v>361</v>
      </c>
      <c r="AX54" s="225" t="s">
        <v>334</v>
      </c>
      <c r="AY54" s="206" t="s">
        <v>335</v>
      </c>
      <c r="BA54" s="223">
        <f t="shared" si="57"/>
        <v>0</v>
      </c>
      <c r="BB54" s="223">
        <f t="shared" si="58"/>
        <v>0</v>
      </c>
      <c r="BC54" s="223">
        <v>0</v>
      </c>
      <c r="BD54" s="223">
        <f t="shared" si="59"/>
        <v>0</v>
      </c>
      <c r="BF54" s="223">
        <f t="shared" si="60"/>
        <v>0</v>
      </c>
      <c r="BG54" s="223">
        <f t="shared" si="61"/>
        <v>0</v>
      </c>
      <c r="BH54" s="223">
        <f t="shared" si="62"/>
        <v>0</v>
      </c>
      <c r="BI54" s="223" t="s">
        <v>336</v>
      </c>
      <c r="BJ54" s="223">
        <v>725</v>
      </c>
    </row>
    <row r="55" spans="1:62" x14ac:dyDescent="0.2">
      <c r="A55" s="226"/>
      <c r="B55" s="227"/>
      <c r="C55" s="227"/>
      <c r="D55" s="286" t="s">
        <v>389</v>
      </c>
      <c r="E55" s="286"/>
      <c r="F55" s="228" t="s">
        <v>27</v>
      </c>
      <c r="G55" s="228" t="s">
        <v>27</v>
      </c>
      <c r="H55" s="228"/>
      <c r="I55" s="220">
        <f>SUM(I56:I56)</f>
        <v>0</v>
      </c>
      <c r="J55" s="206"/>
      <c r="K55" s="220"/>
      <c r="L55" s="229"/>
      <c r="M55" s="198"/>
      <c r="AG55" s="206"/>
      <c r="AQ55" s="220">
        <f>SUM(AH56:AH56)</f>
        <v>0</v>
      </c>
      <c r="AR55" s="220">
        <f>SUM(AI56:AI56)</f>
        <v>0</v>
      </c>
      <c r="AS55" s="220">
        <f>SUM(AJ56:AJ56)</f>
        <v>0</v>
      </c>
    </row>
    <row r="56" spans="1:62" x14ac:dyDescent="0.2">
      <c r="A56" s="230" t="s">
        <v>390</v>
      </c>
      <c r="B56" s="231"/>
      <c r="C56" s="231"/>
      <c r="D56" s="287" t="s">
        <v>391</v>
      </c>
      <c r="E56" s="287"/>
      <c r="F56" s="231" t="s">
        <v>344</v>
      </c>
      <c r="G56" s="232">
        <v>1</v>
      </c>
      <c r="H56" s="232"/>
      <c r="I56" s="232">
        <f>G56*H56</f>
        <v>0</v>
      </c>
      <c r="J56" s="232"/>
      <c r="K56" s="232"/>
      <c r="L56" s="233"/>
      <c r="M56" s="198"/>
      <c r="X56" s="223">
        <f>IF(AO56="5",BH56,0)</f>
        <v>0</v>
      </c>
      <c r="Z56" s="223">
        <f>IF(AO56="1",BF56,0)</f>
        <v>0</v>
      </c>
      <c r="AA56" s="223">
        <f>IF(AO56="1",BG56,0)</f>
        <v>0</v>
      </c>
      <c r="AB56" s="223">
        <f>IF(AO56="7",BF56,0)</f>
        <v>0</v>
      </c>
      <c r="AC56" s="223">
        <f>IF(AO56="7",BG56,0)</f>
        <v>0</v>
      </c>
      <c r="AD56" s="223">
        <f>IF(AO56="2",BF56,0)</f>
        <v>0</v>
      </c>
      <c r="AE56" s="223">
        <f>IF(AO56="2",BG56,0)</f>
        <v>0</v>
      </c>
      <c r="AF56" s="223">
        <f>IF(AO56="0",BH56,0)</f>
        <v>0</v>
      </c>
      <c r="AG56" s="206"/>
      <c r="AH56" s="223">
        <f>IF(AL56=0,I56,0)</f>
        <v>0</v>
      </c>
      <c r="AI56" s="223">
        <f>IF(AL56=15,I56,0)</f>
        <v>0</v>
      </c>
      <c r="AJ56" s="223">
        <f>IF(AL56=21,I56,0)</f>
        <v>0</v>
      </c>
      <c r="AL56" s="223">
        <v>0</v>
      </c>
      <c r="AM56" s="223">
        <f>H56*0</f>
        <v>0</v>
      </c>
      <c r="AN56" s="223">
        <f>H56*(1-0)</f>
        <v>0</v>
      </c>
      <c r="AO56" s="225" t="s">
        <v>78</v>
      </c>
      <c r="AT56" s="223">
        <f>AU56+AV56</f>
        <v>0</v>
      </c>
      <c r="AU56" s="223">
        <f>G56*AM56</f>
        <v>0</v>
      </c>
      <c r="AV56" s="223">
        <f>G56*AN56</f>
        <v>0</v>
      </c>
      <c r="AW56" s="225" t="s">
        <v>392</v>
      </c>
      <c r="AX56" s="225" t="s">
        <v>393</v>
      </c>
      <c r="AY56" s="206" t="s">
        <v>335</v>
      </c>
      <c r="BA56" s="223">
        <f>AU56+AV56</f>
        <v>0</v>
      </c>
      <c r="BB56" s="223">
        <f>H56/(100-BC56)*100</f>
        <v>0</v>
      </c>
      <c r="BC56" s="223">
        <v>0</v>
      </c>
      <c r="BD56" s="223">
        <f>K56</f>
        <v>0</v>
      </c>
      <c r="BF56" s="223">
        <f>G56*AM56</f>
        <v>0</v>
      </c>
      <c r="BG56" s="223">
        <f>G56*AN56</f>
        <v>0</v>
      </c>
      <c r="BH56" s="223">
        <f>G56*H56</f>
        <v>0</v>
      </c>
      <c r="BI56" s="223" t="s">
        <v>336</v>
      </c>
      <c r="BJ56" s="223">
        <v>90</v>
      </c>
    </row>
    <row r="57" spans="1:62" x14ac:dyDescent="0.2">
      <c r="A57" s="234"/>
      <c r="B57" s="234"/>
      <c r="C57" s="234"/>
      <c r="D57" s="234"/>
      <c r="E57" s="234"/>
      <c r="F57" s="234"/>
      <c r="G57" s="234"/>
      <c r="H57" s="234"/>
      <c r="I57" s="235">
        <f>I12+I21+I35+I55</f>
        <v>0</v>
      </c>
      <c r="J57" s="234"/>
      <c r="K57" s="234"/>
      <c r="L57" s="234"/>
    </row>
    <row r="58" spans="1:62" ht="11.25" customHeight="1" x14ac:dyDescent="0.2">
      <c r="A58" s="236"/>
      <c r="O58" s="237"/>
    </row>
    <row r="59" spans="1:62" ht="12.75" customHeight="1" x14ac:dyDescent="0.2">
      <c r="A59" s="288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</row>
  </sheetData>
  <sheetProtection selectLockedCells="1" selectUnlockedCells="1"/>
  <mergeCells count="69">
    <mergeCell ref="A8:C9"/>
    <mergeCell ref="D8:E9"/>
    <mergeCell ref="F8:G9"/>
    <mergeCell ref="H8:H9"/>
    <mergeCell ref="A1:L1"/>
    <mergeCell ref="A2:C3"/>
    <mergeCell ref="D2:E3"/>
    <mergeCell ref="F2:G3"/>
    <mergeCell ref="H2:H3"/>
    <mergeCell ref="I2:L3"/>
    <mergeCell ref="A6:C7"/>
    <mergeCell ref="D6:E7"/>
    <mergeCell ref="F6:G7"/>
    <mergeCell ref="H6:H7"/>
    <mergeCell ref="I6:L7"/>
    <mergeCell ref="A4:C5"/>
    <mergeCell ref="D4:E5"/>
    <mergeCell ref="F4:G5"/>
    <mergeCell ref="H4:H5"/>
    <mergeCell ref="I4:L5"/>
    <mergeCell ref="I8:L9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D10:E10"/>
    <mergeCell ref="J10:K10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54:E54"/>
    <mergeCell ref="D55:E55"/>
    <mergeCell ref="D56:E56"/>
    <mergeCell ref="A59:L59"/>
    <mergeCell ref="D47:E47"/>
    <mergeCell ref="D48:E48"/>
    <mergeCell ref="D49:E49"/>
    <mergeCell ref="D51:E51"/>
    <mergeCell ref="D52:E52"/>
    <mergeCell ref="D53:E53"/>
  </mergeCells>
  <pageMargins left="0.39374999999999999" right="0.39374999999999999" top="0.59097222222222223" bottom="0.59097222222222223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Rekapitulace stavby_8bytů</vt:lpstr>
      <vt:lpstr>Rekapitulace stavby_1byt</vt:lpstr>
      <vt:lpstr>Stavební</vt:lpstr>
      <vt:lpstr>ZTI</vt:lpstr>
      <vt:lpstr>'Rekapitulace stavby_1byt'!Názvy_tisku</vt:lpstr>
      <vt:lpstr>Stavební!Názvy_tisku</vt:lpstr>
      <vt:lpstr>'Rekapitulace stavby_1byt'!Oblast_tisku</vt:lpstr>
      <vt:lpstr>Stavební!Oblast_tisku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Zdražil Stanislav</dc:creator>
  <cp:lastModifiedBy>Uživatel systému Windows</cp:lastModifiedBy>
  <dcterms:created xsi:type="dcterms:W3CDTF">2022-12-06T13:56:57Z</dcterms:created>
  <dcterms:modified xsi:type="dcterms:W3CDTF">2023-01-24T11:02:42Z</dcterms:modified>
</cp:coreProperties>
</file>